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3" activeTab="14"/>
  </bookViews>
  <sheets>
    <sheet name="Pocetna" sheetId="1" r:id="rId1"/>
    <sheet name="KonvFaktor" sheetId="17" r:id="rId2"/>
    <sheet name="PomTab1" sheetId="4" r:id="rId3"/>
    <sheet name="UnosPodataka" sheetId="2" r:id="rId4"/>
    <sheet name="Ustede" sheetId="5" r:id="rId5"/>
    <sheet name="Annuity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externalReferences>
    <externalReference r:id="rId17"/>
  </externalReferences>
  <definedNames>
    <definedName name="EQUITY">UnosPodataka!$F$23</definedName>
    <definedName name="FIRR">FinaIndicators!$E$44</definedName>
    <definedName name="FNPV">FinaIndicators!$E$43</definedName>
    <definedName name="InfRate" comment="Inflacija">0</definedName>
    <definedName name="Investment">UnosPodataka!$F$16</definedName>
    <definedName name="Kurs_EUR" comment="Obračunski kurs EUR na dan 11-4-2023">117.288</definedName>
    <definedName name="LCoEE">LCoEE!$E$19</definedName>
    <definedName name="LOAN">UnosPodataka!$F$26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RIJANTA">Ustede!$B$10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C18" i="17" l="1"/>
  <c r="E17" i="17"/>
  <c r="E16" i="17"/>
  <c r="E15" i="17"/>
  <c r="E14" i="17"/>
  <c r="E13" i="17"/>
  <c r="E12" i="17"/>
  <c r="E18" i="17" l="1"/>
  <c r="E21" i="17" s="1"/>
  <c r="P40" i="4" s="1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16" i="2"/>
  <c r="L24" i="4" l="1"/>
  <c r="L23" i="4"/>
  <c r="K24" i="4" l="1"/>
  <c r="K22" i="4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E13" i="9" l="1"/>
  <c r="E13" i="7"/>
  <c r="M20" i="2"/>
  <c r="W9" i="4" l="1"/>
  <c r="F27" i="9" l="1"/>
  <c r="F26" i="7"/>
  <c r="E10" i="16"/>
  <c r="F12" i="12"/>
  <c r="F26" i="9"/>
  <c r="F25" i="9"/>
  <c r="G9" i="9"/>
  <c r="E12" i="9"/>
  <c r="F25" i="7"/>
  <c r="F24" i="7"/>
  <c r="G26" i="9" l="1"/>
  <c r="G27" i="9"/>
  <c r="H9" i="9"/>
  <c r="H27" i="9" l="1"/>
  <c r="I9" i="9"/>
  <c r="H26" i="9"/>
  <c r="G9" i="7"/>
  <c r="I27" i="9" l="1"/>
  <c r="G26" i="7"/>
  <c r="G25" i="7"/>
  <c r="G24" i="7"/>
  <c r="H9" i="7"/>
  <c r="J9" i="9"/>
  <c r="I26" i="9"/>
  <c r="E12" i="7"/>
  <c r="J27" i="9" l="1"/>
  <c r="H26" i="7"/>
  <c r="I9" i="7"/>
  <c r="H25" i="7"/>
  <c r="H24" i="7"/>
  <c r="K9" i="9"/>
  <c r="J26" i="9"/>
  <c r="AA11" i="4"/>
  <c r="AA12" i="4"/>
  <c r="AA13" i="4"/>
  <c r="AA14" i="4"/>
  <c r="AA15" i="4"/>
  <c r="AA16" i="4"/>
  <c r="Y11" i="4"/>
  <c r="Y12" i="4"/>
  <c r="Y13" i="4"/>
  <c r="Y14" i="4"/>
  <c r="Y15" i="4"/>
  <c r="Y16" i="4"/>
  <c r="W12" i="4"/>
  <c r="W13" i="4"/>
  <c r="W14" i="4"/>
  <c r="W15" i="4"/>
  <c r="W16" i="4"/>
  <c r="W11" i="4"/>
  <c r="AA10" i="4"/>
  <c r="Y10" i="4"/>
  <c r="W10" i="4"/>
  <c r="AA9" i="4"/>
  <c r="Y9" i="4"/>
  <c r="AA8" i="4"/>
  <c r="Y8" i="4"/>
  <c r="W8" i="4"/>
  <c r="Q10" i="5"/>
  <c r="AA17" i="4" l="1"/>
  <c r="AA18" i="4" s="1"/>
  <c r="AA19" i="4" s="1"/>
  <c r="K27" i="9"/>
  <c r="I26" i="7"/>
  <c r="L9" i="9"/>
  <c r="K26" i="9"/>
  <c r="J9" i="7"/>
  <c r="I25" i="7"/>
  <c r="I24" i="7"/>
  <c r="W17" i="4"/>
  <c r="W18" i="4" s="1"/>
  <c r="W19" i="4" s="1"/>
  <c r="Y17" i="4"/>
  <c r="L27" i="9" l="1"/>
  <c r="J26" i="7"/>
  <c r="K9" i="7"/>
  <c r="J25" i="7"/>
  <c r="J24" i="7"/>
  <c r="M9" i="9"/>
  <c r="L26" i="9"/>
  <c r="J9" i="5"/>
  <c r="Y18" i="4"/>
  <c r="Y19" i="4" s="1"/>
  <c r="M27" i="9" l="1"/>
  <c r="K26" i="7"/>
  <c r="N9" i="9"/>
  <c r="M26" i="9"/>
  <c r="L9" i="7"/>
  <c r="K25" i="7"/>
  <c r="K24" i="7"/>
  <c r="J10" i="5"/>
  <c r="J11" i="5"/>
  <c r="N27" i="9" l="1"/>
  <c r="L26" i="7"/>
  <c r="M9" i="7"/>
  <c r="L25" i="7"/>
  <c r="L24" i="7"/>
  <c r="O9" i="9"/>
  <c r="N26" i="9"/>
  <c r="F10" i="12"/>
  <c r="F24" i="9"/>
  <c r="F23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5" i="4"/>
  <c r="O27" i="9" l="1"/>
  <c r="M26" i="7"/>
  <c r="P9" i="9"/>
  <c r="O26" i="9"/>
  <c r="N9" i="7"/>
  <c r="M25" i="7"/>
  <c r="M24" i="7"/>
  <c r="G10" i="12"/>
  <c r="F24" i="2"/>
  <c r="F26" i="2" s="1"/>
  <c r="K23" i="4" s="1"/>
  <c r="G23" i="7"/>
  <c r="B26" i="6"/>
  <c r="H24" i="9"/>
  <c r="I14" i="9"/>
  <c r="I18" i="9" s="1"/>
  <c r="G24" i="9"/>
  <c r="F14" i="9"/>
  <c r="F18" i="9" s="1"/>
  <c r="G14" i="9"/>
  <c r="G18" i="9" s="1"/>
  <c r="G14" i="7"/>
  <c r="G17" i="7"/>
  <c r="F17" i="9"/>
  <c r="H17" i="9"/>
  <c r="H14" i="9"/>
  <c r="H18" i="9" s="1"/>
  <c r="G17" i="9"/>
  <c r="F14" i="7"/>
  <c r="F16" i="12" s="1"/>
  <c r="F17" i="7"/>
  <c r="P27" i="9" l="1"/>
  <c r="N26" i="7"/>
  <c r="K25" i="4"/>
  <c r="L25" i="4" s="1"/>
  <c r="Q9" i="9"/>
  <c r="P26" i="9"/>
  <c r="G16" i="12"/>
  <c r="G17" i="12" s="1"/>
  <c r="O9" i="7"/>
  <c r="N24" i="7"/>
  <c r="N25" i="7"/>
  <c r="E13" i="16"/>
  <c r="E11" i="16"/>
  <c r="H10" i="12"/>
  <c r="E11" i="9"/>
  <c r="E11" i="7"/>
  <c r="E9" i="6"/>
  <c r="H17" i="7"/>
  <c r="H18" i="7" s="1"/>
  <c r="H14" i="7"/>
  <c r="F17" i="12"/>
  <c r="H23" i="7"/>
  <c r="I23" i="7"/>
  <c r="E26" i="6"/>
  <c r="B27" i="6"/>
  <c r="I14" i="7"/>
  <c r="I24" i="9"/>
  <c r="I17" i="9"/>
  <c r="I28" i="9" s="1"/>
  <c r="I17" i="7"/>
  <c r="I27" i="7" s="1"/>
  <c r="I12" i="14" s="1"/>
  <c r="I13" i="14" s="1"/>
  <c r="E25" i="6"/>
  <c r="G28" i="9"/>
  <c r="G19" i="9"/>
  <c r="F27" i="7"/>
  <c r="F12" i="14" s="1"/>
  <c r="F18" i="7"/>
  <c r="H28" i="9"/>
  <c r="H19" i="9"/>
  <c r="G27" i="7"/>
  <c r="G12" i="14" s="1"/>
  <c r="G13" i="14" s="1"/>
  <c r="G18" i="7"/>
  <c r="F28" i="9"/>
  <c r="F19" i="9"/>
  <c r="E40" i="9" l="1"/>
  <c r="E39" i="7"/>
  <c r="E31" i="9"/>
  <c r="E51" i="9" s="1"/>
  <c r="E37" i="9"/>
  <c r="Q27" i="9"/>
  <c r="E30" i="7"/>
  <c r="E50" i="7"/>
  <c r="E36" i="7"/>
  <c r="O26" i="7"/>
  <c r="H16" i="12"/>
  <c r="H17" i="12" s="1"/>
  <c r="P9" i="7"/>
  <c r="O25" i="7"/>
  <c r="O24" i="7"/>
  <c r="F13" i="14"/>
  <c r="R9" i="9"/>
  <c r="Q26" i="9"/>
  <c r="H27" i="7"/>
  <c r="H12" i="14" s="1"/>
  <c r="H13" i="14" s="1"/>
  <c r="I10" i="12"/>
  <c r="I19" i="9"/>
  <c r="I18" i="7"/>
  <c r="E27" i="6"/>
  <c r="B28" i="6"/>
  <c r="J23" i="7"/>
  <c r="J17" i="7"/>
  <c r="J18" i="7" s="1"/>
  <c r="J14" i="7"/>
  <c r="J24" i="9"/>
  <c r="J17" i="9"/>
  <c r="J14" i="9"/>
  <c r="J18" i="9" s="1"/>
  <c r="E59" i="7"/>
  <c r="E23" i="6"/>
  <c r="E21" i="6"/>
  <c r="E19" i="6"/>
  <c r="E17" i="6"/>
  <c r="E16" i="6"/>
  <c r="E14" i="6"/>
  <c r="D13" i="6"/>
  <c r="C13" i="6"/>
  <c r="E24" i="6"/>
  <c r="E22" i="6"/>
  <c r="E20" i="6"/>
  <c r="E18" i="6"/>
  <c r="E15" i="6"/>
  <c r="E13" i="6"/>
  <c r="H25" i="9"/>
  <c r="I25" i="9"/>
  <c r="E60" i="9"/>
  <c r="K25" i="9"/>
  <c r="G25" i="9"/>
  <c r="J25" i="9"/>
  <c r="F54" i="9"/>
  <c r="F53" i="7"/>
  <c r="G53" i="7"/>
  <c r="H54" i="9"/>
  <c r="H55" i="9" s="1"/>
  <c r="G54" i="9"/>
  <c r="G55" i="9" s="1"/>
  <c r="H53" i="7"/>
  <c r="H54" i="7" s="1"/>
  <c r="G54" i="7" l="1"/>
  <c r="F54" i="7"/>
  <c r="F55" i="7" s="1"/>
  <c r="E52" i="9"/>
  <c r="E53" i="9" s="1"/>
  <c r="E51" i="7"/>
  <c r="E52" i="7" s="1"/>
  <c r="F55" i="9"/>
  <c r="F56" i="9" s="1"/>
  <c r="E38" i="9"/>
  <c r="E41" i="9"/>
  <c r="E42" i="9" s="1"/>
  <c r="I54" i="9"/>
  <c r="I55" i="9" s="1"/>
  <c r="R27" i="9"/>
  <c r="G55" i="7"/>
  <c r="H55" i="7" s="1"/>
  <c r="E40" i="7"/>
  <c r="E41" i="7" s="1"/>
  <c r="E37" i="7"/>
  <c r="P26" i="7"/>
  <c r="J53" i="7"/>
  <c r="J54" i="7" s="1"/>
  <c r="I53" i="7"/>
  <c r="I54" i="7" s="1"/>
  <c r="Q9" i="7"/>
  <c r="P25" i="7"/>
  <c r="P24" i="7"/>
  <c r="I16" i="12"/>
  <c r="I17" i="12" s="1"/>
  <c r="S9" i="9"/>
  <c r="R22" i="9"/>
  <c r="R26" i="9"/>
  <c r="J10" i="12"/>
  <c r="F22" i="9"/>
  <c r="F21" i="7"/>
  <c r="J27" i="7"/>
  <c r="J12" i="14" s="1"/>
  <c r="J13" i="14" s="1"/>
  <c r="J28" i="9"/>
  <c r="J19" i="9"/>
  <c r="E28" i="6"/>
  <c r="D28" i="6"/>
  <c r="B29" i="6"/>
  <c r="C28" i="6"/>
  <c r="K24" i="9"/>
  <c r="K14" i="9"/>
  <c r="K18" i="9" s="1"/>
  <c r="K17" i="9"/>
  <c r="K23" i="7"/>
  <c r="K17" i="7"/>
  <c r="K18" i="7" s="1"/>
  <c r="K14" i="7"/>
  <c r="C14" i="6"/>
  <c r="F60" i="7"/>
  <c r="G56" i="9" l="1"/>
  <c r="G61" i="9" s="1"/>
  <c r="F61" i="9"/>
  <c r="F29" i="9"/>
  <c r="J54" i="9"/>
  <c r="J55" i="9" s="1"/>
  <c r="S27" i="9"/>
  <c r="I55" i="7"/>
  <c r="J55" i="7" s="1"/>
  <c r="Q26" i="7"/>
  <c r="K53" i="7"/>
  <c r="K54" i="7" s="1"/>
  <c r="F28" i="7"/>
  <c r="J16" i="12"/>
  <c r="J17" i="12" s="1"/>
  <c r="T9" i="9"/>
  <c r="S26" i="9"/>
  <c r="S22" i="9"/>
  <c r="R9" i="7"/>
  <c r="Q25" i="7"/>
  <c r="Q24" i="7"/>
  <c r="K10" i="12"/>
  <c r="K27" i="7"/>
  <c r="K12" i="14" s="1"/>
  <c r="K13" i="14" s="1"/>
  <c r="K19" i="9"/>
  <c r="L24" i="9"/>
  <c r="L14" i="9"/>
  <c r="L18" i="9" s="1"/>
  <c r="L17" i="9"/>
  <c r="L28" i="9" s="1"/>
  <c r="L25" i="9"/>
  <c r="K28" i="9"/>
  <c r="L23" i="7"/>
  <c r="L14" i="7"/>
  <c r="L17" i="7"/>
  <c r="L27" i="7" s="1"/>
  <c r="L12" i="14" s="1"/>
  <c r="L13" i="14" s="1"/>
  <c r="E29" i="6"/>
  <c r="D29" i="6"/>
  <c r="C29" i="6"/>
  <c r="B30" i="6"/>
  <c r="D14" i="6"/>
  <c r="H56" i="9"/>
  <c r="G60" i="7"/>
  <c r="K55" i="7" l="1"/>
  <c r="F32" i="9"/>
  <c r="T27" i="9"/>
  <c r="K54" i="9"/>
  <c r="K55" i="9" s="1"/>
  <c r="F31" i="7"/>
  <c r="F33" i="7" s="1"/>
  <c r="F34" i="7" s="1"/>
  <c r="R26" i="7"/>
  <c r="S9" i="7"/>
  <c r="R21" i="7"/>
  <c r="R25" i="7"/>
  <c r="R24" i="7"/>
  <c r="U9" i="9"/>
  <c r="T26" i="9"/>
  <c r="T22" i="9"/>
  <c r="K16" i="12"/>
  <c r="K17" i="12" s="1"/>
  <c r="L10" i="12"/>
  <c r="C15" i="6"/>
  <c r="D15" i="6" s="1"/>
  <c r="G21" i="7"/>
  <c r="G22" i="9"/>
  <c r="L18" i="7"/>
  <c r="L19" i="9"/>
  <c r="M23" i="7"/>
  <c r="M17" i="7"/>
  <c r="M18" i="7" s="1"/>
  <c r="M14" i="7"/>
  <c r="M24" i="9"/>
  <c r="M17" i="9"/>
  <c r="M28" i="9" s="1"/>
  <c r="M14" i="9"/>
  <c r="M18" i="9" s="1"/>
  <c r="M25" i="9"/>
  <c r="E30" i="6"/>
  <c r="D30" i="6"/>
  <c r="C30" i="6"/>
  <c r="B31" i="6"/>
  <c r="H60" i="7"/>
  <c r="H61" i="9"/>
  <c r="I56" i="9"/>
  <c r="F13" i="12" l="1"/>
  <c r="F14" i="12" s="1"/>
  <c r="F34" i="9"/>
  <c r="L54" i="9"/>
  <c r="L55" i="9" s="1"/>
  <c r="U27" i="9"/>
  <c r="G29" i="9"/>
  <c r="F30" i="7"/>
  <c r="L53" i="7"/>
  <c r="L54" i="7" s="1"/>
  <c r="L55" i="7" s="1"/>
  <c r="M53" i="7"/>
  <c r="M54" i="7" s="1"/>
  <c r="S26" i="7"/>
  <c r="G28" i="7"/>
  <c r="V9" i="9"/>
  <c r="U22" i="9"/>
  <c r="U26" i="9"/>
  <c r="L16" i="12"/>
  <c r="L17" i="12" s="1"/>
  <c r="T9" i="7"/>
  <c r="S25" i="7"/>
  <c r="S24" i="7"/>
  <c r="S21" i="7"/>
  <c r="M10" i="12"/>
  <c r="C16" i="6"/>
  <c r="D16" i="6" s="1"/>
  <c r="H22" i="9"/>
  <c r="H21" i="7"/>
  <c r="M27" i="7"/>
  <c r="M12" i="14" s="1"/>
  <c r="N23" i="7"/>
  <c r="N17" i="7"/>
  <c r="N27" i="7" s="1"/>
  <c r="N12" i="14" s="1"/>
  <c r="N13" i="14" s="1"/>
  <c r="N14" i="7"/>
  <c r="M19" i="9"/>
  <c r="N24" i="9"/>
  <c r="N14" i="9"/>
  <c r="N18" i="9" s="1"/>
  <c r="N17" i="9"/>
  <c r="N28" i="9" s="1"/>
  <c r="N25" i="9"/>
  <c r="E31" i="6"/>
  <c r="D31" i="6"/>
  <c r="C31" i="6"/>
  <c r="B32" i="6"/>
  <c r="I61" i="9"/>
  <c r="J56" i="9"/>
  <c r="I60" i="7"/>
  <c r="M55" i="7" l="1"/>
  <c r="F35" i="9"/>
  <c r="F31" i="9"/>
  <c r="F51" i="9" s="1"/>
  <c r="G32" i="9"/>
  <c r="V27" i="9"/>
  <c r="H29" i="9"/>
  <c r="M54" i="9"/>
  <c r="M55" i="9" s="1"/>
  <c r="F36" i="7"/>
  <c r="F50" i="7"/>
  <c r="G31" i="7"/>
  <c r="T26" i="7"/>
  <c r="H28" i="7"/>
  <c r="M13" i="14"/>
  <c r="U9" i="7"/>
  <c r="T25" i="7"/>
  <c r="T24" i="7"/>
  <c r="T21" i="7"/>
  <c r="M16" i="12"/>
  <c r="M17" i="12" s="1"/>
  <c r="W9" i="9"/>
  <c r="V22" i="9"/>
  <c r="V26" i="9"/>
  <c r="N10" i="12"/>
  <c r="C17" i="6"/>
  <c r="D17" i="6" s="1"/>
  <c r="I22" i="9"/>
  <c r="I21" i="7"/>
  <c r="N18" i="7"/>
  <c r="N19" i="9"/>
  <c r="O23" i="7"/>
  <c r="O17" i="7"/>
  <c r="O18" i="7" s="1"/>
  <c r="O14" i="7"/>
  <c r="O24" i="9"/>
  <c r="O17" i="9"/>
  <c r="O28" i="9" s="1"/>
  <c r="O14" i="9"/>
  <c r="O18" i="9" s="1"/>
  <c r="O25" i="9"/>
  <c r="E32" i="6"/>
  <c r="D32" i="6"/>
  <c r="C32" i="6"/>
  <c r="J60" i="7"/>
  <c r="J61" i="9"/>
  <c r="K56" i="9"/>
  <c r="F51" i="7" l="1"/>
  <c r="F52" i="7" s="1"/>
  <c r="F56" i="7" s="1"/>
  <c r="F57" i="7"/>
  <c r="F52" i="9"/>
  <c r="F53" i="9" s="1"/>
  <c r="F58" i="9"/>
  <c r="F37" i="9"/>
  <c r="G34" i="9"/>
  <c r="H32" i="9"/>
  <c r="H34" i="9" s="1"/>
  <c r="H35" i="9" s="1"/>
  <c r="I29" i="9"/>
  <c r="N54" i="9"/>
  <c r="N55" i="9" s="1"/>
  <c r="W27" i="9"/>
  <c r="F40" i="7"/>
  <c r="F41" i="7" s="1"/>
  <c r="F37" i="7"/>
  <c r="G33" i="7"/>
  <c r="G13" i="12" s="1"/>
  <c r="G14" i="12" s="1"/>
  <c r="H31" i="7"/>
  <c r="N53" i="7"/>
  <c r="N54" i="7" s="1"/>
  <c r="N55" i="7" s="1"/>
  <c r="O53" i="7"/>
  <c r="O54" i="7" s="1"/>
  <c r="I28" i="7"/>
  <c r="U26" i="7"/>
  <c r="N16" i="12"/>
  <c r="N17" i="12" s="1"/>
  <c r="X9" i="9"/>
  <c r="W26" i="9"/>
  <c r="W22" i="9"/>
  <c r="V9" i="7"/>
  <c r="U25" i="7"/>
  <c r="U24" i="7"/>
  <c r="U21" i="7"/>
  <c r="O10" i="12"/>
  <c r="C18" i="6"/>
  <c r="D18" i="6" s="1"/>
  <c r="J22" i="9"/>
  <c r="J21" i="7"/>
  <c r="O27" i="7"/>
  <c r="O12" i="14" s="1"/>
  <c r="O13" i="14" s="1"/>
  <c r="P14" i="7"/>
  <c r="P23" i="7"/>
  <c r="P17" i="7"/>
  <c r="P27" i="7" s="1"/>
  <c r="P12" i="14" s="1"/>
  <c r="P13" i="14" s="1"/>
  <c r="O19" i="9"/>
  <c r="P24" i="9"/>
  <c r="P17" i="9"/>
  <c r="P14" i="9"/>
  <c r="P18" i="9" s="1"/>
  <c r="P25" i="9"/>
  <c r="L56" i="9"/>
  <c r="K61" i="9"/>
  <c r="K60" i="7"/>
  <c r="O55" i="7" l="1"/>
  <c r="F59" i="7"/>
  <c r="F60" i="9"/>
  <c r="F57" i="9"/>
  <c r="F41" i="9"/>
  <c r="F42" i="9" s="1"/>
  <c r="F38" i="9"/>
  <c r="G35" i="9"/>
  <c r="G31" i="9"/>
  <c r="H31" i="9"/>
  <c r="I32" i="9"/>
  <c r="O54" i="9"/>
  <c r="O55" i="9" s="1"/>
  <c r="J29" i="9"/>
  <c r="X27" i="9"/>
  <c r="G34" i="7"/>
  <c r="G30" i="7"/>
  <c r="H33" i="7"/>
  <c r="H13" i="12" s="1"/>
  <c r="H14" i="12" s="1"/>
  <c r="J28" i="7"/>
  <c r="I31" i="7"/>
  <c r="V26" i="7"/>
  <c r="W9" i="7"/>
  <c r="V21" i="7"/>
  <c r="V25" i="7"/>
  <c r="V24" i="7"/>
  <c r="Y9" i="9"/>
  <c r="X26" i="9"/>
  <c r="X22" i="9"/>
  <c r="O16" i="12"/>
  <c r="O17" i="12" s="1"/>
  <c r="P10" i="12"/>
  <c r="C19" i="6"/>
  <c r="D19" i="6" s="1"/>
  <c r="K22" i="9"/>
  <c r="K21" i="7"/>
  <c r="P19" i="9"/>
  <c r="P18" i="7"/>
  <c r="P28" i="9"/>
  <c r="Q24" i="9"/>
  <c r="Q14" i="9"/>
  <c r="Q18" i="9" s="1"/>
  <c r="Q17" i="9"/>
  <c r="Q25" i="9"/>
  <c r="Q23" i="7"/>
  <c r="Q14" i="7"/>
  <c r="Q17" i="7"/>
  <c r="Q27" i="7" s="1"/>
  <c r="Q12" i="14" s="1"/>
  <c r="Q13" i="14" s="1"/>
  <c r="L60" i="7"/>
  <c r="L61" i="9"/>
  <c r="M56" i="9"/>
  <c r="H37" i="9" l="1"/>
  <c r="H41" i="9" s="1"/>
  <c r="H51" i="9"/>
  <c r="H52" i="9" s="1"/>
  <c r="G37" i="9"/>
  <c r="G41" i="9" s="1"/>
  <c r="G42" i="9" s="1"/>
  <c r="G51" i="9"/>
  <c r="G52" i="9" s="1"/>
  <c r="G53" i="9" s="1"/>
  <c r="I34" i="9"/>
  <c r="J32" i="9"/>
  <c r="J34" i="9" s="1"/>
  <c r="J35" i="9" s="1"/>
  <c r="P54" i="9"/>
  <c r="P55" i="9" s="1"/>
  <c r="Y27" i="9"/>
  <c r="K29" i="9"/>
  <c r="G50" i="7"/>
  <c r="G51" i="7" s="1"/>
  <c r="G52" i="7" s="1"/>
  <c r="G36" i="7"/>
  <c r="H34" i="7"/>
  <c r="H30" i="7"/>
  <c r="I33" i="7"/>
  <c r="I13" i="12" s="1"/>
  <c r="I14" i="12" s="1"/>
  <c r="J31" i="7"/>
  <c r="J33" i="7" s="1"/>
  <c r="J34" i="7" s="1"/>
  <c r="P53" i="7"/>
  <c r="P54" i="7" s="1"/>
  <c r="P55" i="7" s="1"/>
  <c r="K28" i="7"/>
  <c r="W26" i="7"/>
  <c r="P16" i="12"/>
  <c r="P17" i="12" s="1"/>
  <c r="Y22" i="9"/>
  <c r="Y26" i="9"/>
  <c r="X9" i="7"/>
  <c r="W25" i="7"/>
  <c r="W24" i="7"/>
  <c r="W21" i="7"/>
  <c r="Q10" i="12"/>
  <c r="L22" i="9"/>
  <c r="L21" i="7"/>
  <c r="Q19" i="9"/>
  <c r="Q28" i="9"/>
  <c r="R17" i="7"/>
  <c r="R18" i="7" s="1"/>
  <c r="R23" i="7"/>
  <c r="R14" i="7"/>
  <c r="R17" i="9"/>
  <c r="R28" i="9" s="1"/>
  <c r="R14" i="9"/>
  <c r="R25" i="9"/>
  <c r="R24" i="9"/>
  <c r="Q18" i="7"/>
  <c r="C20" i="6"/>
  <c r="M60" i="7"/>
  <c r="M61" i="9"/>
  <c r="N56" i="9"/>
  <c r="H42" i="9" l="1"/>
  <c r="J13" i="12"/>
  <c r="J14" i="12" s="1"/>
  <c r="H53" i="9"/>
  <c r="G60" i="9"/>
  <c r="G57" i="9"/>
  <c r="G38" i="9"/>
  <c r="H38" i="9" s="1"/>
  <c r="I35" i="9"/>
  <c r="I31" i="9"/>
  <c r="J31" i="9"/>
  <c r="K32" i="9"/>
  <c r="L29" i="9"/>
  <c r="Q54" i="9"/>
  <c r="Q55" i="9" s="1"/>
  <c r="I34" i="7"/>
  <c r="I30" i="7"/>
  <c r="H50" i="7"/>
  <c r="H51" i="7" s="1"/>
  <c r="H52" i="7" s="1"/>
  <c r="H36" i="7"/>
  <c r="H40" i="7" s="1"/>
  <c r="G40" i="7"/>
  <c r="G41" i="7" s="1"/>
  <c r="G37" i="7"/>
  <c r="G56" i="7"/>
  <c r="G59" i="7"/>
  <c r="J30" i="7"/>
  <c r="K31" i="7"/>
  <c r="L28" i="7"/>
  <c r="Q53" i="7"/>
  <c r="Q54" i="7" s="1"/>
  <c r="Q55" i="7" s="1"/>
  <c r="X26" i="7"/>
  <c r="Y9" i="7"/>
  <c r="X25" i="7"/>
  <c r="X24" i="7"/>
  <c r="X21" i="7"/>
  <c r="Q16" i="12"/>
  <c r="Q17" i="12" s="1"/>
  <c r="R29" i="9"/>
  <c r="R18" i="9"/>
  <c r="R19" i="9" s="1"/>
  <c r="R10" i="12"/>
  <c r="R27" i="7"/>
  <c r="R53" i="7"/>
  <c r="R54" i="7" s="1"/>
  <c r="S23" i="7"/>
  <c r="S17" i="7"/>
  <c r="S18" i="7" s="1"/>
  <c r="S14" i="7"/>
  <c r="S25" i="9"/>
  <c r="S24" i="9"/>
  <c r="S17" i="9"/>
  <c r="S28" i="9" s="1"/>
  <c r="S14" i="9"/>
  <c r="S18" i="9" s="1"/>
  <c r="D20" i="6"/>
  <c r="N61" i="9"/>
  <c r="O56" i="9"/>
  <c r="N60" i="7"/>
  <c r="R55" i="7" l="1"/>
  <c r="I37" i="9"/>
  <c r="I38" i="9" s="1"/>
  <c r="I51" i="9"/>
  <c r="I52" i="9" s="1"/>
  <c r="I53" i="9" s="1"/>
  <c r="J37" i="9"/>
  <c r="J41" i="9" s="1"/>
  <c r="J51" i="9"/>
  <c r="J52" i="9" s="1"/>
  <c r="H57" i="9"/>
  <c r="H60" i="9"/>
  <c r="K34" i="9"/>
  <c r="K31" i="9" s="1"/>
  <c r="L32" i="9"/>
  <c r="R54" i="9"/>
  <c r="R55" i="9" s="1"/>
  <c r="R32" i="9"/>
  <c r="R34" i="9" s="1"/>
  <c r="R35" i="9" s="1"/>
  <c r="H59" i="7"/>
  <c r="H56" i="7"/>
  <c r="J50" i="7"/>
  <c r="J51" i="7" s="1"/>
  <c r="J36" i="7"/>
  <c r="J40" i="7" s="1"/>
  <c r="I50" i="7"/>
  <c r="I51" i="7" s="1"/>
  <c r="I52" i="7" s="1"/>
  <c r="I36" i="7"/>
  <c r="H41" i="7"/>
  <c r="H37" i="7"/>
  <c r="K33" i="7"/>
  <c r="K13" i="12" s="1"/>
  <c r="K14" i="12" s="1"/>
  <c r="L31" i="7"/>
  <c r="Y26" i="7"/>
  <c r="R28" i="7"/>
  <c r="R12" i="14"/>
  <c r="R13" i="14" s="1"/>
  <c r="R16" i="12"/>
  <c r="R17" i="12" s="1"/>
  <c r="Y25" i="7"/>
  <c r="Y24" i="7"/>
  <c r="Y21" i="7"/>
  <c r="S29" i="9"/>
  <c r="S10" i="12"/>
  <c r="C21" i="6"/>
  <c r="D21" i="6" s="1"/>
  <c r="M22" i="9"/>
  <c r="M21" i="7"/>
  <c r="S27" i="7"/>
  <c r="S53" i="7"/>
  <c r="S54" i="7" s="1"/>
  <c r="T25" i="9"/>
  <c r="T24" i="9"/>
  <c r="T17" i="9"/>
  <c r="T28" i="9" s="1"/>
  <c r="T14" i="9"/>
  <c r="T18" i="9" s="1"/>
  <c r="S19" i="9"/>
  <c r="T23" i="7"/>
  <c r="T17" i="7"/>
  <c r="T27" i="7" s="1"/>
  <c r="T14" i="7"/>
  <c r="P56" i="9"/>
  <c r="O61" i="9"/>
  <c r="O60" i="7"/>
  <c r="S55" i="7" l="1"/>
  <c r="I37" i="7"/>
  <c r="J37" i="7" s="1"/>
  <c r="K35" i="9"/>
  <c r="I41" i="9"/>
  <c r="I42" i="9" s="1"/>
  <c r="J42" i="9" s="1"/>
  <c r="J53" i="9"/>
  <c r="I60" i="9"/>
  <c r="I57" i="9"/>
  <c r="K37" i="9"/>
  <c r="K41" i="9" s="1"/>
  <c r="K51" i="9"/>
  <c r="K52" i="9" s="1"/>
  <c r="J38" i="9"/>
  <c r="R31" i="9"/>
  <c r="L34" i="9"/>
  <c r="M29" i="9"/>
  <c r="S32" i="9"/>
  <c r="J52" i="7"/>
  <c r="I59" i="7"/>
  <c r="I56" i="7"/>
  <c r="K34" i="7"/>
  <c r="K30" i="7"/>
  <c r="I40" i="7"/>
  <c r="I41" i="7" s="1"/>
  <c r="L33" i="7"/>
  <c r="L13" i="12" s="1"/>
  <c r="L14" i="12" s="1"/>
  <c r="R31" i="7"/>
  <c r="R33" i="7" s="1"/>
  <c r="R34" i="7" s="1"/>
  <c r="M28" i="7"/>
  <c r="T28" i="7"/>
  <c r="T12" i="14"/>
  <c r="T13" i="14" s="1"/>
  <c r="S28" i="7"/>
  <c r="S12" i="14"/>
  <c r="S13" i="14" s="1"/>
  <c r="S16" i="12"/>
  <c r="T18" i="7"/>
  <c r="T29" i="9"/>
  <c r="T10" i="12"/>
  <c r="S17" i="12"/>
  <c r="C22" i="6"/>
  <c r="D22" i="6" s="1"/>
  <c r="N22" i="9"/>
  <c r="N21" i="7"/>
  <c r="T19" i="9"/>
  <c r="S54" i="9"/>
  <c r="S55" i="9" s="1"/>
  <c r="U23" i="7"/>
  <c r="U17" i="7"/>
  <c r="U27" i="7" s="1"/>
  <c r="U14" i="7"/>
  <c r="U25" i="9"/>
  <c r="U24" i="9"/>
  <c r="U14" i="9"/>
  <c r="U18" i="9" s="1"/>
  <c r="U17" i="9"/>
  <c r="U28" i="9" s="1"/>
  <c r="P61" i="9"/>
  <c r="Q56" i="9"/>
  <c r="R56" i="9" s="1"/>
  <c r="P60" i="7"/>
  <c r="R13" i="12" l="1"/>
  <c r="R37" i="9"/>
  <c r="R41" i="9" s="1"/>
  <c r="R51" i="9"/>
  <c r="R52" i="9" s="1"/>
  <c r="K42" i="9"/>
  <c r="K38" i="9"/>
  <c r="K53" i="9"/>
  <c r="J60" i="9"/>
  <c r="J57" i="9"/>
  <c r="L35" i="9"/>
  <c r="L31" i="9"/>
  <c r="T32" i="9"/>
  <c r="T34" i="9" s="1"/>
  <c r="T35" i="9" s="1"/>
  <c r="S34" i="9"/>
  <c r="M32" i="9"/>
  <c r="N29" i="9"/>
  <c r="R30" i="7"/>
  <c r="J41" i="7"/>
  <c r="L34" i="7"/>
  <c r="L30" i="7"/>
  <c r="K50" i="7"/>
  <c r="K51" i="7" s="1"/>
  <c r="K52" i="7" s="1"/>
  <c r="K36" i="7"/>
  <c r="J56" i="7"/>
  <c r="J59" i="7"/>
  <c r="M31" i="7"/>
  <c r="S31" i="7"/>
  <c r="T53" i="7"/>
  <c r="T54" i="7" s="1"/>
  <c r="T55" i="7" s="1"/>
  <c r="T31" i="7"/>
  <c r="N28" i="7"/>
  <c r="U28" i="7"/>
  <c r="U12" i="14"/>
  <c r="U13" i="14" s="1"/>
  <c r="T16" i="12"/>
  <c r="T17" i="12" s="1"/>
  <c r="U19" i="9"/>
  <c r="U29" i="9"/>
  <c r="U18" i="7"/>
  <c r="U10" i="12"/>
  <c r="O22" i="9"/>
  <c r="O21" i="7"/>
  <c r="S56" i="9"/>
  <c r="T54" i="9"/>
  <c r="T55" i="9" s="1"/>
  <c r="V25" i="9"/>
  <c r="V24" i="9"/>
  <c r="V17" i="9"/>
  <c r="V28" i="9" s="1"/>
  <c r="V14" i="9"/>
  <c r="V18" i="9" s="1"/>
  <c r="V23" i="7"/>
  <c r="V17" i="7"/>
  <c r="V27" i="7" s="1"/>
  <c r="V14" i="7"/>
  <c r="C23" i="6"/>
  <c r="Q60" i="7"/>
  <c r="R60" i="7" s="1"/>
  <c r="Q61" i="9"/>
  <c r="R61" i="9" s="1"/>
  <c r="L37" i="9" l="1"/>
  <c r="L38" i="9" s="1"/>
  <c r="L51" i="9"/>
  <c r="L52" i="9" s="1"/>
  <c r="L53" i="9" s="1"/>
  <c r="K57" i="9"/>
  <c r="K60" i="9"/>
  <c r="S35" i="9"/>
  <c r="S31" i="9"/>
  <c r="T31" i="9"/>
  <c r="M34" i="9"/>
  <c r="N32" i="9"/>
  <c r="N34" i="9" s="1"/>
  <c r="N35" i="9" s="1"/>
  <c r="O29" i="9"/>
  <c r="U54" i="9"/>
  <c r="U55" i="9" s="1"/>
  <c r="U32" i="9"/>
  <c r="K59" i="7"/>
  <c r="K56" i="7"/>
  <c r="K40" i="7"/>
  <c r="K41" i="7" s="1"/>
  <c r="K37" i="7"/>
  <c r="R50" i="7"/>
  <c r="R51" i="7" s="1"/>
  <c r="R36" i="7"/>
  <c r="R40" i="7" s="1"/>
  <c r="L50" i="7"/>
  <c r="L51" i="7" s="1"/>
  <c r="L52" i="7" s="1"/>
  <c r="L36" i="7"/>
  <c r="L40" i="7" s="1"/>
  <c r="U31" i="7"/>
  <c r="U33" i="7" s="1"/>
  <c r="M33" i="7"/>
  <c r="M13" i="12" s="1"/>
  <c r="M14" i="12" s="1"/>
  <c r="T33" i="7"/>
  <c r="T13" i="12" s="1"/>
  <c r="S33" i="7"/>
  <c r="S13" i="12" s="1"/>
  <c r="N31" i="7"/>
  <c r="N33" i="7" s="1"/>
  <c r="N34" i="7" s="1"/>
  <c r="O28" i="7"/>
  <c r="V28" i="7"/>
  <c r="V12" i="14"/>
  <c r="V13" i="14" s="1"/>
  <c r="U16" i="12"/>
  <c r="U17" i="12" s="1"/>
  <c r="S61" i="9"/>
  <c r="U53" i="7"/>
  <c r="U54" i="7" s="1"/>
  <c r="U55" i="7" s="1"/>
  <c r="V19" i="9"/>
  <c r="V18" i="7"/>
  <c r="V29" i="9"/>
  <c r="V10" i="12"/>
  <c r="W25" i="9"/>
  <c r="W24" i="9"/>
  <c r="W17" i="9"/>
  <c r="W28" i="9" s="1"/>
  <c r="W14" i="9"/>
  <c r="W18" i="9" s="1"/>
  <c r="W17" i="7"/>
  <c r="W18" i="7" s="1"/>
  <c r="W14" i="7"/>
  <c r="W23" i="7"/>
  <c r="T56" i="9"/>
  <c r="S60" i="7"/>
  <c r="D23" i="6"/>
  <c r="L41" i="9" l="1"/>
  <c r="L42" i="9" s="1"/>
  <c r="U56" i="9"/>
  <c r="U34" i="7"/>
  <c r="U13" i="12"/>
  <c r="U14" i="12" s="1"/>
  <c r="N13" i="12"/>
  <c r="N14" i="12" s="1"/>
  <c r="S37" i="9"/>
  <c r="S41" i="9" s="1"/>
  <c r="S51" i="9"/>
  <c r="S52" i="9" s="1"/>
  <c r="T37" i="9"/>
  <c r="T41" i="9" s="1"/>
  <c r="T51" i="9"/>
  <c r="T52" i="9" s="1"/>
  <c r="L57" i="9"/>
  <c r="L60" i="9"/>
  <c r="M35" i="9"/>
  <c r="M31" i="9"/>
  <c r="N31" i="9"/>
  <c r="U34" i="9"/>
  <c r="O32" i="9"/>
  <c r="V54" i="9"/>
  <c r="V55" i="9" s="1"/>
  <c r="V56" i="9" s="1"/>
  <c r="V32" i="9"/>
  <c r="V34" i="9" s="1"/>
  <c r="V35" i="9" s="1"/>
  <c r="L59" i="7"/>
  <c r="L56" i="7"/>
  <c r="U30" i="7"/>
  <c r="T34" i="7"/>
  <c r="T30" i="7"/>
  <c r="L41" i="7"/>
  <c r="M34" i="7"/>
  <c r="M30" i="7"/>
  <c r="L37" i="7"/>
  <c r="S34" i="7"/>
  <c r="S30" i="7"/>
  <c r="N30" i="7"/>
  <c r="O31" i="7"/>
  <c r="V53" i="7"/>
  <c r="V54" i="7" s="1"/>
  <c r="V55" i="7" s="1"/>
  <c r="V31" i="7"/>
  <c r="V33" i="7" s="1"/>
  <c r="V34" i="7" s="1"/>
  <c r="V16" i="12"/>
  <c r="V17" i="12" s="1"/>
  <c r="W19" i="9"/>
  <c r="W29" i="9"/>
  <c r="W10" i="12"/>
  <c r="C24" i="6"/>
  <c r="D24" i="6" s="1"/>
  <c r="P22" i="9"/>
  <c r="P21" i="7"/>
  <c r="T60" i="7"/>
  <c r="W53" i="7"/>
  <c r="W54" i="7" s="1"/>
  <c r="W27" i="7"/>
  <c r="X23" i="7"/>
  <c r="X17" i="7"/>
  <c r="X27" i="7" s="1"/>
  <c r="X14" i="7"/>
  <c r="T61" i="9"/>
  <c r="U61" i="9" s="1"/>
  <c r="X25" i="9"/>
  <c r="X24" i="9"/>
  <c r="X17" i="9"/>
  <c r="X28" i="9" s="1"/>
  <c r="X14" i="9"/>
  <c r="X18" i="9" s="1"/>
  <c r="V13" i="12" l="1"/>
  <c r="V14" i="12" s="1"/>
  <c r="W55" i="7"/>
  <c r="N37" i="9"/>
  <c r="N41" i="9" s="1"/>
  <c r="N51" i="9"/>
  <c r="N52" i="9" s="1"/>
  <c r="M37" i="9"/>
  <c r="M38" i="9" s="1"/>
  <c r="M51" i="9"/>
  <c r="M52" i="9" s="1"/>
  <c r="M53" i="9" s="1"/>
  <c r="U35" i="9"/>
  <c r="U31" i="9"/>
  <c r="V31" i="9"/>
  <c r="O34" i="9"/>
  <c r="P29" i="9"/>
  <c r="W54" i="9"/>
  <c r="W55" i="9" s="1"/>
  <c r="W56" i="9" s="1"/>
  <c r="W61" i="9" s="1"/>
  <c r="W32" i="9"/>
  <c r="S50" i="7"/>
  <c r="S51" i="7" s="1"/>
  <c r="S36" i="7"/>
  <c r="S40" i="7" s="1"/>
  <c r="T50" i="7"/>
  <c r="T51" i="7" s="1"/>
  <c r="T36" i="7"/>
  <c r="T40" i="7" s="1"/>
  <c r="N50" i="7"/>
  <c r="N51" i="7" s="1"/>
  <c r="N36" i="7"/>
  <c r="N40" i="7" s="1"/>
  <c r="M50" i="7"/>
  <c r="M51" i="7" s="1"/>
  <c r="M52" i="7" s="1"/>
  <c r="M36" i="7"/>
  <c r="M40" i="7" s="1"/>
  <c r="M41" i="7" s="1"/>
  <c r="V30" i="7"/>
  <c r="U50" i="7"/>
  <c r="U51" i="7" s="1"/>
  <c r="U36" i="7"/>
  <c r="U40" i="7" s="1"/>
  <c r="V60" i="7"/>
  <c r="O33" i="7"/>
  <c r="O13" i="12" s="1"/>
  <c r="O14" i="12" s="1"/>
  <c r="P28" i="7"/>
  <c r="U60" i="7"/>
  <c r="W16" i="12"/>
  <c r="W17" i="12" s="1"/>
  <c r="X28" i="7"/>
  <c r="X12" i="14"/>
  <c r="X13" i="14" s="1"/>
  <c r="W28" i="7"/>
  <c r="W12" i="14"/>
  <c r="W13" i="14" s="1"/>
  <c r="X18" i="7"/>
  <c r="X19" i="9"/>
  <c r="X29" i="9"/>
  <c r="X10" i="12"/>
  <c r="C25" i="6"/>
  <c r="Q22" i="9"/>
  <c r="Q21" i="7"/>
  <c r="V61" i="9"/>
  <c r="D25" i="6"/>
  <c r="C26" i="6" s="1"/>
  <c r="Y17" i="9"/>
  <c r="Y28" i="9" s="1"/>
  <c r="Y14" i="9"/>
  <c r="Y18" i="9" s="1"/>
  <c r="Y24" i="9"/>
  <c r="Y25" i="9"/>
  <c r="Y23" i="7"/>
  <c r="Y17" i="7"/>
  <c r="Y27" i="7" s="1"/>
  <c r="Y12" i="14" s="1"/>
  <c r="Y14" i="7"/>
  <c r="M41" i="9" l="1"/>
  <c r="M42" i="9" s="1"/>
  <c r="N41" i="7"/>
  <c r="M37" i="7"/>
  <c r="N37" i="7" s="1"/>
  <c r="N42" i="9"/>
  <c r="N38" i="9"/>
  <c r="N53" i="9"/>
  <c r="M60" i="9"/>
  <c r="M57" i="9"/>
  <c r="U37" i="9"/>
  <c r="U41" i="9" s="1"/>
  <c r="U51" i="9"/>
  <c r="U52" i="9" s="1"/>
  <c r="V37" i="9"/>
  <c r="V41" i="9" s="1"/>
  <c r="V51" i="9"/>
  <c r="V52" i="9" s="1"/>
  <c r="O35" i="9"/>
  <c r="O31" i="9"/>
  <c r="W34" i="9"/>
  <c r="P32" i="9"/>
  <c r="Q29" i="9"/>
  <c r="X54" i="9"/>
  <c r="X55" i="9" s="1"/>
  <c r="X56" i="9" s="1"/>
  <c r="X61" i="9" s="1"/>
  <c r="X32" i="9"/>
  <c r="V50" i="7"/>
  <c r="V51" i="7" s="1"/>
  <c r="V36" i="7"/>
  <c r="V40" i="7" s="1"/>
  <c r="O34" i="7"/>
  <c r="O30" i="7"/>
  <c r="N52" i="7"/>
  <c r="M56" i="7"/>
  <c r="M59" i="7"/>
  <c r="P31" i="7"/>
  <c r="W31" i="7"/>
  <c r="X53" i="7"/>
  <c r="X54" i="7" s="1"/>
  <c r="X55" i="7" s="1"/>
  <c r="X31" i="7"/>
  <c r="Q28" i="7"/>
  <c r="X16" i="12"/>
  <c r="X17" i="12" s="1"/>
  <c r="Y13" i="14"/>
  <c r="E15" i="14"/>
  <c r="Y29" i="9"/>
  <c r="Y19" i="9"/>
  <c r="Y10" i="12"/>
  <c r="Y28" i="7"/>
  <c r="W60" i="7"/>
  <c r="Y18" i="7"/>
  <c r="D26" i="6"/>
  <c r="C27" i="6"/>
  <c r="D27" i="6" s="1"/>
  <c r="O37" i="9" l="1"/>
  <c r="O41" i="9" s="1"/>
  <c r="O42" i="9" s="1"/>
  <c r="O51" i="9"/>
  <c r="O52" i="9" s="1"/>
  <c r="O53" i="9" s="1"/>
  <c r="N57" i="9"/>
  <c r="N60" i="9"/>
  <c r="W35" i="9"/>
  <c r="W31" i="9"/>
  <c r="X34" i="9"/>
  <c r="P34" i="9"/>
  <c r="Q32" i="9"/>
  <c r="Y54" i="9"/>
  <c r="Y55" i="9" s="1"/>
  <c r="Y56" i="9" s="1"/>
  <c r="Y32" i="9"/>
  <c r="N56" i="7"/>
  <c r="N59" i="7"/>
  <c r="O50" i="7"/>
  <c r="O51" i="7" s="1"/>
  <c r="O52" i="7" s="1"/>
  <c r="O36" i="7"/>
  <c r="O40" i="7" s="1"/>
  <c r="O41" i="7" s="1"/>
  <c r="X33" i="7"/>
  <c r="X13" i="12" s="1"/>
  <c r="X14" i="12" s="1"/>
  <c r="P33" i="7"/>
  <c r="P13" i="12" s="1"/>
  <c r="P14" i="12" s="1"/>
  <c r="W33" i="7"/>
  <c r="W13" i="12" s="1"/>
  <c r="W14" i="12" s="1"/>
  <c r="Q31" i="7"/>
  <c r="Y31" i="7"/>
  <c r="Y16" i="12"/>
  <c r="Y17" i="12" s="1"/>
  <c r="X60" i="7"/>
  <c r="Y53" i="7"/>
  <c r="Y54" i="7" s="1"/>
  <c r="Y55" i="7" s="1"/>
  <c r="R14" i="12"/>
  <c r="O38" i="9" l="1"/>
  <c r="W37" i="9"/>
  <c r="W41" i="9" s="1"/>
  <c r="W51" i="9"/>
  <c r="W52" i="9" s="1"/>
  <c r="O60" i="9"/>
  <c r="O57" i="9"/>
  <c r="X35" i="9"/>
  <c r="X31" i="9"/>
  <c r="P35" i="9"/>
  <c r="P31" i="9"/>
  <c r="Y34" i="9"/>
  <c r="Q34" i="9"/>
  <c r="O56" i="7"/>
  <c r="O59" i="7"/>
  <c r="X34" i="7"/>
  <c r="X30" i="7"/>
  <c r="P34" i="7"/>
  <c r="P30" i="7"/>
  <c r="W34" i="7"/>
  <c r="W30" i="7"/>
  <c r="O37" i="7"/>
  <c r="Y33" i="7"/>
  <c r="Y13" i="12" s="1"/>
  <c r="Y14" i="12" s="1"/>
  <c r="Q33" i="7"/>
  <c r="Q13" i="12" s="1"/>
  <c r="Q14" i="12" s="1"/>
  <c r="Y61" i="9"/>
  <c r="Y60" i="7"/>
  <c r="T14" i="12"/>
  <c r="S14" i="12"/>
  <c r="X37" i="9" l="1"/>
  <c r="X41" i="9" s="1"/>
  <c r="X51" i="9"/>
  <c r="X52" i="9" s="1"/>
  <c r="P37" i="9"/>
  <c r="P41" i="9" s="1"/>
  <c r="P42" i="9" s="1"/>
  <c r="P51" i="9"/>
  <c r="P52" i="9" s="1"/>
  <c r="P53" i="9" s="1"/>
  <c r="Q35" i="9"/>
  <c r="Q31" i="9"/>
  <c r="Y35" i="9"/>
  <c r="Y31" i="9"/>
  <c r="Y51" i="9" s="1"/>
  <c r="Y52" i="9" s="1"/>
  <c r="P50" i="7"/>
  <c r="P51" i="7" s="1"/>
  <c r="P52" i="7" s="1"/>
  <c r="P36" i="7"/>
  <c r="P40" i="7" s="1"/>
  <c r="P41" i="7" s="1"/>
  <c r="Q34" i="7"/>
  <c r="Q30" i="7"/>
  <c r="Y34" i="7"/>
  <c r="Y30" i="7"/>
  <c r="W50" i="7"/>
  <c r="W51" i="7" s="1"/>
  <c r="W36" i="7"/>
  <c r="W40" i="7" s="1"/>
  <c r="X50" i="7"/>
  <c r="X51" i="7" s="1"/>
  <c r="X36" i="7"/>
  <c r="X40" i="7" s="1"/>
  <c r="E20" i="12"/>
  <c r="E19" i="12"/>
  <c r="E14" i="16" s="1"/>
  <c r="P37" i="7" l="1"/>
  <c r="P57" i="9"/>
  <c r="P60" i="9"/>
  <c r="P38" i="9"/>
  <c r="Q37" i="9"/>
  <c r="Q41" i="9" s="1"/>
  <c r="Q42" i="9" s="1"/>
  <c r="R42" i="9" s="1"/>
  <c r="S42" i="9" s="1"/>
  <c r="T42" i="9" s="1"/>
  <c r="U42" i="9" s="1"/>
  <c r="V42" i="9" s="1"/>
  <c r="W42" i="9" s="1"/>
  <c r="X42" i="9" s="1"/>
  <c r="Q51" i="9"/>
  <c r="Q52" i="9" s="1"/>
  <c r="Q53" i="9" s="1"/>
  <c r="E46" i="9" a="1"/>
  <c r="E46" i="9" s="1"/>
  <c r="Y37" i="9"/>
  <c r="Y50" i="7"/>
  <c r="Y51" i="7" s="1"/>
  <c r="E45" i="7" a="1"/>
  <c r="E45" i="7" s="1"/>
  <c r="Y36" i="7"/>
  <c r="Q50" i="7"/>
  <c r="Q51" i="7" s="1"/>
  <c r="Q52" i="7" s="1"/>
  <c r="Q36" i="7"/>
  <c r="Q40" i="7" s="1"/>
  <c r="Q41" i="7" s="1"/>
  <c r="R41" i="7" s="1"/>
  <c r="S41" i="7" s="1"/>
  <c r="T41" i="7" s="1"/>
  <c r="U41" i="7" s="1"/>
  <c r="V41" i="7" s="1"/>
  <c r="W41" i="7" s="1"/>
  <c r="X41" i="7" s="1"/>
  <c r="P59" i="7"/>
  <c r="P56" i="7"/>
  <c r="Q38" i="9" l="1"/>
  <c r="R38" i="9" s="1"/>
  <c r="S38" i="9" s="1"/>
  <c r="T38" i="9" s="1"/>
  <c r="U38" i="9" s="1"/>
  <c r="V38" i="9" s="1"/>
  <c r="W38" i="9" s="1"/>
  <c r="X38" i="9" s="1"/>
  <c r="Y38" i="9" s="1"/>
  <c r="R53" i="9"/>
  <c r="Q57" i="9"/>
  <c r="Q60" i="9"/>
  <c r="Y41" i="9"/>
  <c r="Y42" i="9" s="1"/>
  <c r="E48" i="9" s="1" a="1"/>
  <c r="E48" i="9" s="1"/>
  <c r="E45" i="9"/>
  <c r="E18" i="16" s="1"/>
  <c r="E44" i="9"/>
  <c r="E17" i="16" s="1"/>
  <c r="R52" i="7"/>
  <c r="Q59" i="7"/>
  <c r="Q56" i="7"/>
  <c r="Y40" i="7"/>
  <c r="Y41" i="7" s="1"/>
  <c r="E47" i="7" s="1" a="1"/>
  <c r="E47" i="7" s="1"/>
  <c r="E43" i="7"/>
  <c r="E15" i="16" s="1"/>
  <c r="E44" i="7"/>
  <c r="E16" i="16" s="1"/>
  <c r="Q37" i="7"/>
  <c r="E47" i="9" l="1" a="1"/>
  <c r="E47" i="9" s="1"/>
  <c r="R37" i="7"/>
  <c r="S37" i="7" s="1"/>
  <c r="T37" i="7" s="1"/>
  <c r="U37" i="7" s="1"/>
  <c r="V37" i="7" s="1"/>
  <c r="W37" i="7" s="1"/>
  <c r="X37" i="7" s="1"/>
  <c r="Y37" i="7" s="1"/>
  <c r="B32" i="13"/>
  <c r="D32" i="13"/>
  <c r="E32" i="13"/>
  <c r="C32" i="13"/>
  <c r="S53" i="9"/>
  <c r="R57" i="9"/>
  <c r="R60" i="9"/>
  <c r="S52" i="7"/>
  <c r="R59" i="7"/>
  <c r="R56" i="7"/>
  <c r="E46" i="7" l="1" a="1"/>
  <c r="E46" i="7" s="1"/>
  <c r="T53" i="9"/>
  <c r="S60" i="9"/>
  <c r="S57" i="9"/>
  <c r="T52" i="7"/>
  <c r="S56" i="7"/>
  <c r="S59" i="7"/>
  <c r="U53" i="9" l="1"/>
  <c r="T60" i="9"/>
  <c r="T57" i="9"/>
  <c r="U52" i="7"/>
  <c r="T56" i="7"/>
  <c r="T59" i="7"/>
  <c r="V53" i="9" l="1"/>
  <c r="U57" i="9"/>
  <c r="U60" i="9"/>
  <c r="V52" i="7"/>
  <c r="U59" i="7"/>
  <c r="U56" i="7"/>
  <c r="W53" i="9" l="1"/>
  <c r="V60" i="9"/>
  <c r="V57" i="9"/>
  <c r="W52" i="7"/>
  <c r="V59" i="7"/>
  <c r="V56" i="7"/>
  <c r="X53" i="9" l="1"/>
  <c r="W60" i="9"/>
  <c r="W57" i="9"/>
  <c r="X52" i="7"/>
  <c r="W59" i="7"/>
  <c r="W56" i="7"/>
  <c r="Y53" i="9" l="1"/>
  <c r="X60" i="9"/>
  <c r="X57" i="9"/>
  <c r="Y52" i="7"/>
  <c r="X59" i="7"/>
  <c r="X56" i="7"/>
  <c r="Y57" i="9" l="1"/>
  <c r="Y60" i="9"/>
  <c r="Y56" i="7"/>
  <c r="Y59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<sst xmlns="http://schemas.openxmlformats.org/spreadsheetml/2006/main" count="404" uniqueCount="223">
  <si>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</si>
  <si>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</si>
  <si>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</si>
  <si>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</si>
  <si>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</si>
  <si>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</si>
  <si>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</si>
  <si>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</si>
  <si>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</si>
  <si>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</si>
  <si>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</si>
  <si>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</si>
  <si>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</si>
  <si>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</si>
  <si>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</si>
  <si>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</si>
  <si>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</si>
  <si>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</si>
  <si>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</si>
  <si>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Mrki ugalj</t>
  </si>
  <si>
    <t>Lignit</t>
  </si>
  <si>
    <t>Solarna energija</t>
  </si>
  <si>
    <t>EUR ili -</t>
  </si>
  <si>
    <t>Varijanta A</t>
  </si>
  <si>
    <t>Varijanta B</t>
  </si>
  <si>
    <t>Varijanta C</t>
  </si>
  <si>
    <t>Energy savings</t>
  </si>
  <si>
    <t>Money savings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</si>
  <si>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</t>
    </r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</si>
  <si>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</si>
  <si>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</si>
  <si>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</si>
  <si>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</si>
  <si>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</si>
  <si>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</si>
  <si>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</si>
  <si>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Projekat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</si>
  <si>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</si>
  <si>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</si>
  <si>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</si>
  <si>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</si>
  <si>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</si>
  <si>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</si>
  <si>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</si>
  <si>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</si>
  <si>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</si>
  <si>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</si>
  <si>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</si>
  <si>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</si>
  <si>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</si>
  <si>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</si>
  <si>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</si>
  <si>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</si>
  <si>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</si>
  <si>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</si>
  <si>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</si>
  <si>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</si>
  <si>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</si>
  <si>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</si>
  <si>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</si>
  <si>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</si>
  <si>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</si>
  <si>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</si>
  <si>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</si>
  <si>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</si>
  <si>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 na sredstva iz kredita</t>
  </si>
  <si>
    <t>Gorivo ili energija</t>
  </si>
  <si>
    <t>Unos podataka za proračun</t>
  </si>
  <si>
    <t>Ukupno:</t>
  </si>
  <si>
    <t>UKUPNO:</t>
  </si>
  <si>
    <t>Kredit:</t>
  </si>
  <si>
    <t>CO2 Taksa</t>
  </si>
  <si>
    <t>Konverzioni CO2 faktor - t/MWh primarne energije</t>
  </si>
  <si>
    <t>ENERGIJA I TROŠKOVI ENERGIJE</t>
  </si>
  <si>
    <t>Izabrati varijantu obračuna troškova</t>
  </si>
  <si>
    <t>Varijanta naplate po utrošku</t>
  </si>
  <si>
    <r>
      <t>Varijanta A - varijabilni deo din/kWh, fiksni deo din/m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mesečno</t>
    </r>
  </si>
  <si>
    <t>Varijanta C - postoji samo varijabilni deo din/kWh</t>
  </si>
  <si>
    <t>Varijanta B - varijabilni deo din/kWh, fiksni deo din/kW mesečno</t>
  </si>
  <si>
    <t>A</t>
  </si>
  <si>
    <t>B</t>
  </si>
  <si>
    <t>C</t>
  </si>
  <si>
    <t>Komentar</t>
  </si>
  <si>
    <t>Cena fiksnog dela bez PDV</t>
  </si>
  <si>
    <t>Cena varijabilnog dela bez PDV</t>
  </si>
  <si>
    <t>Grejana površina</t>
  </si>
  <si>
    <t>din/kWh</t>
  </si>
  <si>
    <r>
      <t>din/m</t>
    </r>
    <r>
      <rPr>
        <vertAlign val="superscript"/>
        <sz val="11"/>
        <color theme="1"/>
        <rFont val="Calibri"/>
        <family val="2"/>
        <scheme val="minor"/>
      </rPr>
      <t>2</t>
    </r>
  </si>
  <si>
    <t>din/kW</t>
  </si>
  <si>
    <t xml:space="preserve"> -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</si>
  <si>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</si>
  <si>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Potrošnja toplote - posle projekta</t>
  </si>
  <si>
    <t>Potrošnja toplote - pre projekta</t>
  </si>
  <si>
    <t>Temperatura prostora - pre projekta</t>
  </si>
  <si>
    <t>Temperatura prostora - posle projekta</t>
  </si>
  <si>
    <t>Projektna temperatura prostora</t>
  </si>
  <si>
    <t>Projektna spoljna temperatura</t>
  </si>
  <si>
    <t>Prema elaboratu EE</t>
  </si>
  <si>
    <t>Procena</t>
  </si>
  <si>
    <t>Procena - uobičajena</t>
  </si>
  <si>
    <t>Prema tehničkim propisima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</si>
  <si>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</si>
  <si>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Uštede energije</t>
  </si>
  <si>
    <t>Uštede u novcu</t>
  </si>
  <si>
    <t>Radni režim sa prekidom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</si>
  <si>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</si>
  <si>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</si>
  <si>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</si>
  <si>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</si>
  <si>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</si>
  <si>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</si>
  <si>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</si>
  <si>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</si>
  <si>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energije (MWh/a)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</si>
  <si>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</si>
  <si>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</si>
  <si>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</si>
  <si>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</si>
  <si>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</si>
  <si>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</si>
  <si>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</si>
  <si>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</si>
  <si>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</si>
  <si>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</si>
  <si>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</si>
  <si>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</si>
  <si>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Deo ušteda koji pripada krajnjim kupcima (EUR/a)</t>
  </si>
  <si>
    <t>Ukupni godišnji troškovi (EUR/a)</t>
  </si>
  <si>
    <t>GRAF / CASH FLOW / FINANSIJSKI</t>
  </si>
  <si>
    <t>GRAF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</si>
  <si>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</si>
  <si>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</si>
  <si>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</si>
  <si>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</si>
  <si>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</si>
  <si>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t>Ušteda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</si>
  <si>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</si>
  <si>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</si>
  <si>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Nabavka stolarije</t>
  </si>
  <si>
    <t>NAZAD</t>
  </si>
  <si>
    <t>DALJE</t>
  </si>
  <si>
    <t>Miks goriva</t>
  </si>
  <si>
    <t>ESCO INVESTICIJA</t>
  </si>
  <si>
    <t>Udeo uštede ako gradi ESCO (EUR)</t>
  </si>
  <si>
    <t>Diskontovana vrednost udela (EUR)</t>
  </si>
  <si>
    <t>N/A</t>
  </si>
  <si>
    <t>GRAFIK / CASH FLOW / FINANSIJSKI</t>
  </si>
  <si>
    <t>REZIME PROJEKTA</t>
  </si>
  <si>
    <t>Investiciona vrednost (EUR)</t>
  </si>
  <si>
    <t>Subvencije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</si>
  <si>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</si>
  <si>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</si>
  <si>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</si>
  <si>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</si>
  <si>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</si>
  <si>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</si>
  <si>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</si>
  <si>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</si>
  <si>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</si>
  <si>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</si>
  <si>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ANALIZA SA UKLJUČENIM CO₂</t>
  </si>
  <si>
    <t>NPV CO² (EUR)</t>
  </si>
  <si>
    <t>IRR CO² (%)</t>
  </si>
  <si>
    <t>Toplota iz toplana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</si>
  <si>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</si>
  <si>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</si>
  <si>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</si>
  <si>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</si>
  <si>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</si>
  <si>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</si>
  <si>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</si>
  <si>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</si>
  <si>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</si>
  <si>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</si>
  <si>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</si>
  <si>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</si>
  <si>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</si>
  <si>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</si>
  <si>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</si>
  <si>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</si>
  <si>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</si>
  <si>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</si>
  <si>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</si>
  <si>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</si>
  <si>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</si>
  <si>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</si>
  <si>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</si>
  <si>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godina</t>
  </si>
  <si>
    <t>Diskontovani period povraćaja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</si>
  <si>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</si>
  <si>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</si>
  <si>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</si>
  <si>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</si>
  <si>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</si>
  <si>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Cena toplote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</si>
  <si>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</si>
  <si>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</si>
  <si>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</si>
  <si>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Neosetljivo</t>
  </si>
  <si>
    <r>
      <t>Cena toplote + CO</t>
    </r>
    <r>
      <rPr>
        <b/>
        <sz val="11"/>
        <color theme="1"/>
        <rFont val="Calibri"/>
        <family val="2"/>
      </rPr>
      <t>₂</t>
    </r>
  </si>
  <si>
    <t>Investicije + CO₂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</si>
  <si>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</si>
  <si>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</si>
  <si>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</si>
  <si>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</si>
  <si>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</si>
  <si>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</si>
  <si>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</si>
  <si>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</si>
  <si>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</si>
  <si>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</si>
  <si>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</si>
  <si>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</si>
  <si>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</si>
  <si>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</si>
  <si>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</si>
  <si>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</si>
  <si>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Drvo sertifikovano</t>
  </si>
  <si>
    <t>Suncokret ljuska</t>
  </si>
  <si>
    <t>Toplota (kupljena)</t>
  </si>
  <si>
    <t>Električna energija OIE</t>
  </si>
  <si>
    <t>Toplota iz DH</t>
  </si>
  <si>
    <t>Drvo nesertifikovano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</si>
</sst>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88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0" fillId="2" borderId="0" xfId="0" applyFill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6" borderId="0" xfId="0" applyNumberFormat="1" applyFont="1" applyFill="1"/>
    <xf numFmtId="4" fontId="0" fillId="0" borderId="0" xfId="0" applyNumberFormat="1" applyAlignment="1">
      <alignment horizontal="right"/>
    </xf>
    <xf numFmtId="0" fontId="1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6" borderId="0" xfId="0" applyFont="1" applyFill="1"/>
    <xf numFmtId="0" fontId="2" fillId="3" borderId="0" xfId="0" applyFont="1" applyFill="1" applyProtection="1"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2" fillId="0" borderId="0" xfId="0" applyNumberFormat="1" applyFont="1"/>
    <xf numFmtId="0" fontId="0" fillId="8" borderId="0" xfId="0" applyFill="1"/>
    <xf numFmtId="0" fontId="0" fillId="3" borderId="0" xfId="0" applyFill="1"/>
    <xf numFmtId="0" fontId="0" fillId="6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/>
    <xf numFmtId="4" fontId="0" fillId="8" borderId="0" xfId="0" applyNumberFormat="1" applyFill="1"/>
    <xf numFmtId="0" fontId="0" fillId="0" borderId="0" xfId="0" applyAlignment="1">
      <alignment horizontal="left"/>
    </xf>
    <xf numFmtId="0" fontId="0" fillId="7" borderId="0" xfId="0" applyFill="1"/>
    <xf numFmtId="4" fontId="0" fillId="7" borderId="0" xfId="0" applyNumberFormat="1" applyFill="1"/>
    <xf numFmtId="0" fontId="0" fillId="12" borderId="0" xfId="0" applyFill="1" applyAlignment="1">
      <alignment horizontal="left"/>
    </xf>
    <xf numFmtId="0" fontId="15" fillId="0" borderId="0" xfId="0" applyFont="1" applyAlignment="1">
      <alignment horizontal="left"/>
    </xf>
    <xf numFmtId="0" fontId="15" fillId="12" borderId="0" xfId="0" applyFont="1" applyFill="1" applyAlignment="1">
      <alignment horizontal="left"/>
    </xf>
    <xf numFmtId="0" fontId="0" fillId="12" borderId="0" xfId="0" applyFill="1"/>
    <xf numFmtId="164" fontId="0" fillId="12" borderId="0" xfId="0" applyNumberFormat="1" applyFill="1"/>
    <xf numFmtId="10" fontId="0" fillId="12" borderId="0" xfId="0" applyNumberFormat="1" applyFill="1"/>
    <xf numFmtId="4" fontId="0" fillId="12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4" fontId="0" fillId="0" borderId="0" xfId="0" applyNumberFormat="1"/>
    <xf numFmtId="10" fontId="0" fillId="0" borderId="0" xfId="2" applyNumberFormat="1" applyFont="1"/>
    <xf numFmtId="164" fontId="0" fillId="0" borderId="0" xfId="2" applyNumberFormat="1" applyFont="1"/>
    <xf numFmtId="10" fontId="0" fillId="0" borderId="0" xfId="2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2" fillId="6" borderId="0" xfId="0" applyFont="1" applyFill="1" applyProtection="1">
      <protection locked="0"/>
    </xf>
    <xf numFmtId="4" fontId="1" fillId="6" borderId="0" xfId="0" applyNumberFormat="1" applyFont="1" applyFill="1" applyProtection="1">
      <protection locked="0"/>
    </xf>
    <xf numFmtId="165" fontId="15" fillId="0" borderId="0" xfId="0" applyNumberFormat="1" applyFont="1"/>
    <xf numFmtId="4" fontId="1" fillId="6" borderId="0" xfId="0" applyNumberFormat="1" applyFont="1" applyFill="1"/>
    <xf numFmtId="2" fontId="1" fillId="6" borderId="0" xfId="0" applyNumberFormat="1" applyFont="1" applyFill="1"/>
    <xf numFmtId="0" fontId="19" fillId="0" borderId="0" xfId="0" applyFont="1"/>
    <xf numFmtId="0" fontId="10" fillId="0" borderId="0" xfId="0" applyFont="1" applyAlignment="1">
      <alignment horizontal="center"/>
    </xf>
    <xf numFmtId="0" fontId="6" fillId="6" borderId="0" xfId="0" applyFont="1" applyFill="1" applyAlignment="1">
      <alignment horizontal="center" vertical="distributed"/>
    </xf>
    <xf numFmtId="0" fontId="3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center"/>
    </xf>
    <xf numFmtId="0" fontId="9" fillId="9" borderId="0" xfId="1" applyFont="1" applyFill="1" applyAlignment="1" applyProtection="1">
      <alignment horizontal="center" vertical="distributed"/>
      <protection locked="0"/>
    </xf>
    <xf numFmtId="0" fontId="9" fillId="10" borderId="0" xfId="1" applyFont="1" applyFill="1" applyAlignment="1" applyProtection="1">
      <alignment horizontal="center" vertical="distributed"/>
      <protection locked="0"/>
    </xf>
    <xf numFmtId="0" fontId="2" fillId="6" borderId="0" xfId="0" applyFont="1" applyFill="1" applyAlignment="1">
      <alignment horizontal="left" vertical="distributed"/>
    </xf>
    <xf numFmtId="0" fontId="3" fillId="6" borderId="0" xfId="0" applyFont="1" applyFill="1" applyAlignment="1">
      <alignment horizontal="center"/>
    </xf>
    <xf numFmtId="0" fontId="1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0" fontId="11" fillId="11" borderId="0" xfId="0" applyFont="1" applyFill="1" applyAlignment="1">
      <alignment horizontal="center"/>
    </xf>
    <xf numFmtId="0" fontId="9" fillId="9" borderId="0" xfId="1" applyFont="1" applyFill="1" applyAlignment="1" applyProtection="1">
      <alignment horizontal="center" vertical="distributed" shrinkToFit="1"/>
      <protection locked="0"/>
    </xf>
    <xf numFmtId="0" fontId="3" fillId="6" borderId="0" xfId="0" applyFont="1" applyFill="1" applyAlignment="1" applyProtection="1">
      <alignment horizontal="center" vertical="distributed"/>
      <protection locked="0"/>
    </xf>
    <xf numFmtId="0" fontId="1" fillId="6" borderId="0" xfId="0" applyFont="1" applyFill="1" applyAlignment="1">
      <alignment horizontal="left"/>
    </xf>
    <xf numFmtId="10" fontId="0" fillId="0" borderId="0" xfId="0" applyNumberFormat="1" applyAlignment="1">
      <alignment horizontal="center"/>
    </xf>
    <xf numFmtId="0" fontId="12" fillId="11" borderId="0" xfId="0" applyFont="1" applyFill="1" applyAlignment="1">
      <alignment horizontal="left"/>
    </xf>
    <xf numFmtId="4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-20354.877944080908</c:v>
                </c:pt>
                <c:pt idx="2">
                  <c:v>-14935.778612204926</c:v>
                </c:pt>
                <c:pt idx="3">
                  <c:v>-9878.0836346667165</c:v>
                </c:pt>
                <c:pt idx="4">
                  <c:v>-5158.7931897445451</c:v>
                </c:pt>
                <c:pt idx="5">
                  <c:v>-756.42192766078369</c:v>
                </c:pt>
                <c:pt idx="6">
                  <c:v>3349.0983040427964</c:v>
                </c:pt>
                <c:pt idx="7">
                  <c:v>7176.5093729806031</c:v>
                </c:pt>
                <c:pt idx="8">
                  <c:v>10743.311822900811</c:v>
                </c:pt>
                <c:pt idx="9">
                  <c:v>14065.844267053937</c:v>
                </c:pt>
                <c:pt idx="10">
                  <c:v>17159.357572811241</c:v>
                </c:pt>
                <c:pt idx="11">
                  <c:v>20038.084172980532</c:v>
                </c:pt>
                <c:pt idx="12">
                  <c:v>22715.302817370299</c:v>
                </c:pt>
                <c:pt idx="13">
                  <c:v>26158.795766372372</c:v>
                </c:pt>
                <c:pt idx="14">
                  <c:v>29378.785026586353</c:v>
                </c:pt>
                <c:pt idx="15">
                  <c:v>32389.777350208824</c:v>
                </c:pt>
                <c:pt idx="16">
                  <c:v>35205.337912765171</c:v>
                </c:pt>
                <c:pt idx="17">
                  <c:v>37838.151427176708</c:v>
                </c:pt>
                <c:pt idx="18">
                  <c:v>40300.0792911522</c:v>
                </c:pt>
                <c:pt idx="19">
                  <c:v>42602.213025365301</c:v>
                </c:pt>
                <c:pt idx="20">
                  <c:v>44754.924243168367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E58-439B-BF3E-4172FD63D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332864"/>
        <c:axId val="172076416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14160</c:v>
                </c:pt>
                <c:pt idx="1">
                  <c:v>30409.922396229107</c:v>
                </c:pt>
                <c:pt idx="2">
                  <c:v>34393.233821800524</c:v>
                </c:pt>
                <c:pt idx="3">
                  <c:v>38127.675813172013</c:v>
                </c:pt>
                <c:pt idx="4">
                  <c:v>41629.859038589122</c:v>
                </c:pt>
                <c:pt idx="5">
                  <c:v>44915.337675921124</c:v>
                </c:pt>
                <c:pt idx="6">
                  <c:v>47998.679009167121</c:v>
                </c:pt>
                <c:pt idx="7">
                  <c:v>50893.528556157398</c:v>
                </c:pt>
                <c:pt idx="8">
                  <c:v>53612.671019793859</c:v>
                </c:pt>
                <c:pt idx="9">
                  <c:v>56168.087336306824</c:v>
                </c:pt>
                <c:pt idx="10">
                  <c:v>58571.008076368591</c:v>
                </c:pt>
                <c:pt idx="11">
                  <c:v>60831.963438417595</c:v>
                </c:pt>
                <c:pt idx="12">
                  <c:v>62960.830058135769</c:v>
                </c:pt>
                <c:pt idx="13">
                  <c:v>64011.478134915385</c:v>
                </c:pt>
                <c:pt idx="14">
                  <c:v>64993.932745277009</c:v>
                </c:pt>
                <c:pt idx="15">
                  <c:v>65912.620060994886</c:v>
                </c:pt>
                <c:pt idx="16">
                  <c:v>66771.678968306907</c:v>
                </c:pt>
                <c:pt idx="17">
                  <c:v>67574.979714497633</c:v>
                </c:pt>
                <c:pt idx="18">
                  <c:v>68326.141344204356</c:v>
                </c:pt>
                <c:pt idx="19">
                  <c:v>69028.548004000608</c:v>
                </c:pt>
                <c:pt idx="20">
                  <c:v>69685.364188712745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E58-439B-BF3E-4172FD63D823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10055.0444521482</c:v>
                </c:pt>
                <c:pt idx="2">
                  <c:v>19457.455209595599</c:v>
                </c:pt>
                <c:pt idx="3">
                  <c:v>28249.592178505296</c:v>
                </c:pt>
                <c:pt idx="4">
                  <c:v>36471.065848844577</c:v>
                </c:pt>
                <c:pt idx="5">
                  <c:v>44158.91574826034</c:v>
                </c:pt>
                <c:pt idx="6">
                  <c:v>51347.777313209917</c:v>
                </c:pt>
                <c:pt idx="7">
                  <c:v>58070.037929138001</c:v>
                </c:pt>
                <c:pt idx="8">
                  <c:v>64355.98284269467</c:v>
                </c:pt>
                <c:pt idx="9">
                  <c:v>70233.931603360761</c:v>
                </c:pt>
                <c:pt idx="10">
                  <c:v>75730.365649179832</c:v>
                </c:pt>
                <c:pt idx="11">
                  <c:v>80870.047611398128</c:v>
                </c:pt>
                <c:pt idx="12">
                  <c:v>85676.132875506068</c:v>
                </c:pt>
                <c:pt idx="13">
                  <c:v>90170.273901287757</c:v>
                </c:pt>
                <c:pt idx="14">
                  <c:v>94372.717771863361</c:v>
                </c:pt>
                <c:pt idx="15">
                  <c:v>98302.39741120371</c:v>
                </c:pt>
                <c:pt idx="16">
                  <c:v>101977.01688107208</c:v>
                </c:pt>
                <c:pt idx="17">
                  <c:v>105413.13114167434</c:v>
                </c:pt>
                <c:pt idx="18">
                  <c:v>108626.22063535656</c:v>
                </c:pt>
                <c:pt idx="19">
                  <c:v>111630.76102936591</c:v>
                </c:pt>
                <c:pt idx="20">
                  <c:v>114440.28843188111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E58-439B-BF3E-4172FD63D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332864"/>
        <c:axId val="172076416"/>
      </c:lineChart>
      <c:catAx>
        <c:axId val="167332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6416"/>
        <c:crosses val="autoZero"/>
        <c:auto val="1"/>
        <c:lblAlgn val="ctr"/>
        <c:lblOffset val="100"/>
        <c:noMultiLvlLbl val="0"/>
      </c:catAx>
      <c:valAx>
        <c:axId val="17207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332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-16551.763864096523</c:v>
                </c:pt>
                <c:pt idx="2">
                  <c:v>-5624.8582607400676</c:v>
                </c:pt>
                <c:pt idx="3">
                  <c:v>5591.6503406370321</c:v>
                </c:pt>
                <c:pt idx="4">
                  <c:v>17078.507415127919</c:v>
                </c:pt>
                <c:pt idx="5">
                  <c:v>28817.686530619998</c:v>
                </c:pt>
                <c:pt idx="6">
                  <c:v>40792.308613245608</c:v>
                </c:pt>
                <c:pt idx="7">
                  <c:v>52986.566404564299</c:v>
                </c:pt>
                <c:pt idx="8">
                  <c:v>65385.653771210636</c:v>
                </c:pt>
                <c:pt idx="9">
                  <c:v>77975.699549653335</c:v>
                </c:pt>
                <c:pt idx="10">
                  <c:v>90743.705629196484</c:v>
                </c:pt>
                <c:pt idx="11">
                  <c:v>103677.48899550296</c:v>
                </c:pt>
                <c:pt idx="12">
                  <c:v>116765.6274748219</c:v>
                </c:pt>
                <c:pt idx="13">
                  <c:v>130952.80564453654</c:v>
                </c:pt>
                <c:pt idx="14">
                  <c:v>145227.6470087012</c:v>
                </c:pt>
                <c:pt idx="15">
                  <c:v>159584.46169147739</c:v>
                </c:pt>
                <c:pt idx="16">
                  <c:v>174017.92912466207</c:v>
                </c:pt>
                <c:pt idx="17">
                  <c:v>188523.07407737029</c:v>
                </c:pt>
                <c:pt idx="18">
                  <c:v>203095.24424153747</c:v>
                </c:pt>
                <c:pt idx="19">
                  <c:v>217730.08927225962</c:v>
                </c:pt>
                <c:pt idx="20">
                  <c:v>232423.54118854279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05-41F2-86A7-FA69C08C4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0752128"/>
        <c:axId val="179134464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14160</c:v>
                </c:pt>
                <c:pt idx="1">
                  <c:v>31081.060175049879</c:v>
                </c:pt>
                <c:pt idx="2">
                  <c:v>35691.94844539254</c:v>
                </c:pt>
                <c:pt idx="3">
                  <c:v>40013.233717714553</c:v>
                </c:pt>
                <c:pt idx="4">
                  <c:v>44064.170516922786</c:v>
                </c:pt>
                <c:pt idx="5">
                  <c:v>47862.785275129827</c:v>
                </c:pt>
                <c:pt idx="6">
                  <c:v>51425.957066203337</c:v>
                </c:pt>
                <c:pt idx="7">
                  <c:v>54769.493148583766</c:v>
                </c:pt>
                <c:pt idx="8">
                  <c:v>57908.199655636548</c:v>
                </c:pt>
                <c:pt idx="9">
                  <c:v>60855.947750892956</c:v>
                </c:pt>
                <c:pt idx="10">
                  <c:v>63625.735545048927</c:v>
                </c:pt>
                <c:pt idx="11">
                  <c:v>66229.746052441566</c:v>
                </c:pt>
                <c:pt idx="12">
                  <c:v>68679.40144682175</c:v>
                </c:pt>
                <c:pt idx="13">
                  <c:v>70030.017150806234</c:v>
                </c:pt>
                <c:pt idx="14">
                  <c:v>71292.969660340692</c:v>
                </c:pt>
                <c:pt idx="15">
                  <c:v>72473.948851263616</c:v>
                </c:pt>
                <c:pt idx="16">
                  <c:v>73578.275291778045</c:v>
                </c:pt>
                <c:pt idx="17">
                  <c:v>74610.924212768965</c:v>
                </c:pt>
                <c:pt idx="18">
                  <c:v>75576.547922300859</c:v>
                </c:pt>
                <c:pt idx="19">
                  <c:v>76479.4967652778</c:v>
                </c:pt>
                <c:pt idx="20">
                  <c:v>77323.838722693734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D05-41F2-86A7-FA69C08C4903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14529.296310953354</c:v>
                </c:pt>
                <c:pt idx="2">
                  <c:v>30067.090184652472</c:v>
                </c:pt>
                <c:pt idx="3">
                  <c:v>45604.884058351585</c:v>
                </c:pt>
                <c:pt idx="4">
                  <c:v>61142.677932050705</c:v>
                </c:pt>
                <c:pt idx="5">
                  <c:v>76680.471805749825</c:v>
                </c:pt>
                <c:pt idx="6">
                  <c:v>92218.265679448945</c:v>
                </c:pt>
                <c:pt idx="7">
                  <c:v>107756.05955314806</c:v>
                </c:pt>
                <c:pt idx="8">
                  <c:v>123293.85342684718</c:v>
                </c:pt>
                <c:pt idx="9">
                  <c:v>138831.64730054629</c:v>
                </c:pt>
                <c:pt idx="10">
                  <c:v>154369.44117424541</c:v>
                </c:pt>
                <c:pt idx="11">
                  <c:v>169907.23504794453</c:v>
                </c:pt>
                <c:pt idx="12">
                  <c:v>185445.02892164365</c:v>
                </c:pt>
                <c:pt idx="13">
                  <c:v>200982.82279534277</c:v>
                </c:pt>
                <c:pt idx="14">
                  <c:v>216520.61666904189</c:v>
                </c:pt>
                <c:pt idx="15">
                  <c:v>232058.41054274101</c:v>
                </c:pt>
                <c:pt idx="16">
                  <c:v>247596.20441644013</c:v>
                </c:pt>
                <c:pt idx="17">
                  <c:v>263133.99829013925</c:v>
                </c:pt>
                <c:pt idx="18">
                  <c:v>278671.79216383834</c:v>
                </c:pt>
                <c:pt idx="19">
                  <c:v>294209.58603753743</c:v>
                </c:pt>
                <c:pt idx="20">
                  <c:v>309747.37991123652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D05-41F2-86A7-FA69C08C4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0752128"/>
        <c:axId val="179134464"/>
      </c:lineChart>
      <c:catAx>
        <c:axId val="1607521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134464"/>
        <c:crosses val="autoZero"/>
        <c:auto val="1"/>
        <c:lblAlgn val="ctr"/>
        <c:lblOffset val="100"/>
        <c:noMultiLvlLbl val="0"/>
      </c:catAx>
      <c:valAx>
        <c:axId val="17913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75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#.##000_ ;[Red]\-#.##000\ </c:formatCode>
                <c:ptCount val="2"/>
                <c:pt idx="0">
                  <c:v>36619.436181267658</c:v>
                </c:pt>
                <c:pt idx="1">
                  <c:v>23135.871774972595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572-4290-8188-28EA1DD6E12A}"/>
            </c:ext>
          </c:extLst>
        </c:ser>
        <c:ser>
          <c:idx val="1"/>
          <c:order val="1"/>
          <c:tx>
            <c:strRef>
              <c:f>Osetljivost!$T$9</c:f>
              <c:strCache>
                <c:ptCount val="1"/>
                <c:pt idx="0">
                  <c:v>Cena toplote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Osetljivost!$D$15:$D$16</c:f>
              <c:numCache>
                <c:formatCode>#.##000_ ;[Red]\-#.##000\ </c:formatCode>
                <c:ptCount val="2"/>
                <c:pt idx="0">
                  <c:v>63525.347454082905</c:v>
                </c:pt>
                <c:pt idx="1">
                  <c:v>50041.783047787809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572-4290-8188-28EA1DD6E12A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#.##000_ ;[Red]\-#.##000\ </c:formatCode>
                <c:ptCount val="2"/>
                <c:pt idx="0">
                  <c:v>59474.156378216881</c:v>
                </c:pt>
                <c:pt idx="1">
                  <c:v>54092.974123653854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572-4290-8188-28EA1DD6E12A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#.##000_ ;[Red]\-#.##000\ </c:formatCode>
                <c:ptCount val="2"/>
                <c:pt idx="0">
                  <c:v>22904.61879611008</c:v>
                </c:pt>
                <c:pt idx="1">
                  <c:v>37706.380810674695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572-4290-8188-28EA1DD6E12A}"/>
            </c:ext>
          </c:extLst>
        </c:ser>
        <c:ser>
          <c:idx val="4"/>
          <c:order val="4"/>
          <c:tx>
            <c:strRef>
              <c:f>Osetljivost!$T$10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#.##000_ ;[Red]\-#.##000\ </c:formatCode>
                <c:ptCount val="2"/>
                <c:pt idx="0">
                  <c:v>48761.451349371047</c:v>
                </c:pt>
                <c:pt idx="1">
                  <c:v>65980.753313926951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572-4290-8188-28EA1DD6E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524992"/>
        <c:axId val="160632768"/>
      </c:lineChart>
      <c:catAx>
        <c:axId val="16552499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32768"/>
        <c:crosses val="autoZero"/>
        <c:auto val="1"/>
        <c:lblAlgn val="ctr"/>
        <c:lblOffset val="100"/>
        <c:noMultiLvlLbl val="0"/>
      </c:catAx>
      <c:valAx>
        <c:axId val="160632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2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[1]AkoESCO!$F$7:$Y$7</c:f>
              <c:numCache>
                <c:formatCode>General</c:formatCode>
                <c:ptCount val="20"/>
                <c:pt idx="3">
                  <c:v>0</c:v>
                </c:pt>
                <c:pt idx="8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E0C-45E9-A961-41D5E244C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5539328"/>
        <c:axId val="160687808"/>
        <c:extLst xmlns:c16r2="http://schemas.microsoft.com/office/drawing/2015/06/chart"/>
      </c:lineChart>
      <c:catAx>
        <c:axId val="165539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87808"/>
        <c:crosses val="autoZero"/>
        <c:auto val="1"/>
        <c:lblAlgn val="ctr"/>
        <c:lblOffset val="100"/>
        <c:noMultiLvlLbl val="0"/>
      </c:catAx>
      <c:valAx>
        <c:axId val="160687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39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R$1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76200</xdr:rowOff>
    </xdr:from>
    <xdr:to>
      <xdr:col>2</xdr:col>
      <xdr:colOff>219875</xdr:colOff>
      <xdr:row>14</xdr:row>
      <xdr:rowOff>85378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66675</xdr:rowOff>
    </xdr:from>
    <xdr:to>
      <xdr:col>11</xdr:col>
      <xdr:colOff>524675</xdr:colOff>
      <xdr:row>8</xdr:row>
      <xdr:rowOff>75853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05625" y="666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27</xdr:row>
      <xdr:rowOff>180975</xdr:rowOff>
    </xdr:from>
    <xdr:to>
      <xdr:col>2</xdr:col>
      <xdr:colOff>534200</xdr:colOff>
      <xdr:row>29</xdr:row>
      <xdr:rowOff>142528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6668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41275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9</xdr:col>
      <xdr:colOff>466725</xdr:colOff>
      <xdr:row>10</xdr:row>
      <xdr:rowOff>157162</xdr:rowOff>
    </xdr:from>
    <xdr:to>
      <xdr:col>17</xdr:col>
      <xdr:colOff>161925</xdr:colOff>
      <xdr:row>25</xdr:row>
      <xdr:rowOff>42862</xdr:rowOff>
    </xdr:to>
    <xdr:graphicFrame macro="">
      <xdr:nvGraphicFramePr>
        <xdr:cNvPr id="6" name="Chart 5">
          <a:extLst>
            <a:ext uri="{FF2B5EF4-FFF2-40B4-BE49-F238E27FC236}">
              <a16:creationId xmlns=""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0</xdr:rowOff>
    </xdr:from>
    <xdr:to>
      <xdr:col>11</xdr:col>
      <xdr:colOff>524675</xdr:colOff>
      <xdr:row>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4372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5" name="Picture 4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28575</xdr:colOff>
      <xdr:row>0</xdr:row>
      <xdr:rowOff>180975</xdr:rowOff>
    </xdr:from>
    <xdr:to>
      <xdr:col>8</xdr:col>
      <xdr:colOff>607695</xdr:colOff>
      <xdr:row>3</xdr:row>
      <xdr:rowOff>188595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0875" y="1809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16</xdr:row>
          <xdr:rowOff>200025</xdr:rowOff>
        </xdr:from>
        <xdr:to>
          <xdr:col>15</xdr:col>
          <xdr:colOff>447675</xdr:colOff>
          <xdr:row>18</xdr:row>
          <xdr:rowOff>19050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</xdr:col>
      <xdr:colOff>85725</xdr:colOff>
      <xdr:row>16</xdr:row>
      <xdr:rowOff>19050</xdr:rowOff>
    </xdr:from>
    <xdr:to>
      <xdr:col>3</xdr:col>
      <xdr:colOff>524675</xdr:colOff>
      <xdr:row>17</xdr:row>
      <xdr:rowOff>190153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4525" y="24193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10</xdr:row>
      <xdr:rowOff>114300</xdr:rowOff>
    </xdr:from>
    <xdr:to>
      <xdr:col>10</xdr:col>
      <xdr:colOff>524675</xdr:colOff>
      <xdr:row>12</xdr:row>
      <xdr:rowOff>123478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143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11906</xdr:rowOff>
    </xdr:from>
    <xdr:to>
      <xdr:col>11</xdr:col>
      <xdr:colOff>617540</xdr:colOff>
      <xdr:row>7</xdr:row>
      <xdr:rowOff>140147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6371" y="11906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2344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79715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568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95250</xdr:rowOff>
    </xdr:from>
    <xdr:to>
      <xdr:col>2</xdr:col>
      <xdr:colOff>219875</xdr:colOff>
      <xdr:row>14</xdr:row>
      <xdr:rowOff>104428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rmoizolacija%20zgra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Ustede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I7" t="str">
            <v>NAZAD</v>
          </cell>
          <cell r="J7"/>
          <cell r="N7" t="str">
            <v>DALJE</v>
          </cell>
          <cell r="O7"/>
        </row>
      </sheetData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R24"/>
  <sheetViews>
    <sheetView workbookViewId="0">
      <selection activeCell="V31" sqref="V31"/>
    </sheetView>
  </sheetViews>
  <sheetFormatPr defaultRowHeight="15" x14ac:dyDescent="0.25"/>
  <sheetData>
    <row r="3" spans="2:18" ht="16.5" x14ac:dyDescent="0.35">
      <c r="F3" s="64" t="s">
        <v>159</v>
      </c>
      <c r="G3" s="64"/>
      <c r="H3" s="64"/>
      <c r="I3" s="64"/>
    </row>
    <row r="7" spans="2:18" x14ac:dyDescent="0.25">
      <c r="B7" s="65" t="s">
        <v>0</v>
      </c>
      <c r="C7" s="65"/>
      <c r="D7" s="65"/>
      <c r="E7" s="65"/>
      <c r="F7" s="65"/>
      <c r="G7" s="65"/>
      <c r="H7" s="65"/>
      <c r="I7" s="65"/>
      <c r="J7" s="65"/>
      <c r="K7" s="65"/>
    </row>
    <row r="8" spans="2:18" x14ac:dyDescent="0.25">
      <c r="B8" s="65"/>
      <c r="C8" s="65"/>
      <c r="D8" s="65"/>
      <c r="E8" s="65"/>
      <c r="F8" s="65"/>
      <c r="G8" s="65"/>
      <c r="H8" s="65"/>
      <c r="I8" s="65"/>
      <c r="J8" s="65"/>
      <c r="K8" s="65"/>
    </row>
    <row r="9" spans="2:18" x14ac:dyDescent="0.25">
      <c r="B9" s="65"/>
      <c r="C9" s="65"/>
      <c r="D9" s="65"/>
      <c r="E9" s="65"/>
      <c r="F9" s="65"/>
      <c r="G9" s="65"/>
      <c r="H9" s="65"/>
      <c r="I9" s="65"/>
      <c r="J9" s="65"/>
      <c r="K9" s="65"/>
      <c r="M9" s="66" t="s">
        <v>2</v>
      </c>
      <c r="N9" s="66"/>
      <c r="O9" s="66"/>
      <c r="P9" s="66"/>
      <c r="Q9" s="66"/>
      <c r="R9" s="66"/>
    </row>
    <row r="10" spans="2:18" x14ac:dyDescent="0.25">
      <c r="B10" s="65"/>
      <c r="C10" s="65"/>
      <c r="D10" s="65"/>
      <c r="E10" s="65"/>
      <c r="F10" s="65"/>
      <c r="G10" s="65"/>
      <c r="H10" s="65"/>
      <c r="I10" s="65"/>
      <c r="J10" s="65"/>
      <c r="K10" s="65"/>
      <c r="M10" s="66"/>
      <c r="N10" s="66"/>
      <c r="O10" s="66"/>
      <c r="P10" s="66"/>
      <c r="Q10" s="66"/>
      <c r="R10" s="66"/>
    </row>
    <row r="11" spans="2:18" x14ac:dyDescent="0.25">
      <c r="B11" s="65"/>
      <c r="C11" s="65"/>
      <c r="D11" s="65"/>
      <c r="E11" s="65"/>
      <c r="F11" s="65"/>
      <c r="G11" s="65"/>
      <c r="H11" s="65"/>
      <c r="I11" s="65"/>
      <c r="J11" s="65"/>
      <c r="K11" s="65"/>
    </row>
    <row r="12" spans="2:18" x14ac:dyDescent="0.25">
      <c r="B12" s="65"/>
      <c r="C12" s="65"/>
      <c r="D12" s="65"/>
      <c r="E12" s="65"/>
      <c r="F12" s="65"/>
      <c r="G12" s="65"/>
      <c r="H12" s="65"/>
      <c r="I12" s="65"/>
      <c r="J12" s="65"/>
      <c r="K12" s="65"/>
      <c r="M12" s="67" t="s">
        <v>39</v>
      </c>
      <c r="N12" s="67"/>
      <c r="O12" s="67"/>
      <c r="P12" s="67"/>
      <c r="Q12" s="67"/>
      <c r="R12" s="67"/>
    </row>
    <row r="13" spans="2:18" x14ac:dyDescent="0.25">
      <c r="B13" s="65"/>
      <c r="C13" s="65"/>
      <c r="D13" s="65"/>
      <c r="E13" s="65"/>
      <c r="F13" s="65"/>
      <c r="G13" s="65"/>
      <c r="H13" s="65"/>
      <c r="I13" s="65"/>
      <c r="J13" s="65"/>
      <c r="K13" s="65"/>
    </row>
    <row r="14" spans="2:18" x14ac:dyDescent="0.25">
      <c r="B14" s="65"/>
      <c r="C14" s="65"/>
      <c r="D14" s="65"/>
      <c r="E14" s="65"/>
      <c r="F14" s="65"/>
      <c r="G14" s="65"/>
      <c r="H14" s="65"/>
      <c r="I14" s="65"/>
      <c r="J14" s="65"/>
      <c r="K14" s="65"/>
      <c r="M14" s="68" t="s">
        <v>139</v>
      </c>
      <c r="N14" s="68"/>
      <c r="Q14" s="69" t="s">
        <v>140</v>
      </c>
      <c r="R14" s="69"/>
    </row>
    <row r="15" spans="2:18" x14ac:dyDescent="0.25">
      <c r="B15" s="65"/>
      <c r="C15" s="65"/>
      <c r="D15" s="65"/>
      <c r="E15" s="65"/>
      <c r="F15" s="65"/>
      <c r="G15" s="65"/>
      <c r="H15" s="65"/>
      <c r="I15" s="65"/>
      <c r="J15" s="65"/>
      <c r="K15" s="65"/>
      <c r="M15" s="68"/>
      <c r="N15" s="68"/>
      <c r="Q15" s="69"/>
      <c r="R15" s="69"/>
    </row>
    <row r="16" spans="2:18" x14ac:dyDescent="0.25">
      <c r="B16" s="65"/>
      <c r="C16" s="65"/>
      <c r="D16" s="65"/>
      <c r="E16" s="65"/>
      <c r="F16" s="65"/>
      <c r="G16" s="65"/>
      <c r="H16" s="65"/>
      <c r="I16" s="65"/>
      <c r="J16" s="65"/>
      <c r="K16" s="65"/>
    </row>
    <row r="17" spans="2:11" x14ac:dyDescent="0.25">
      <c r="B17" s="65"/>
      <c r="C17" s="65"/>
      <c r="D17" s="65"/>
      <c r="E17" s="65"/>
      <c r="F17" s="65"/>
      <c r="G17" s="65"/>
      <c r="H17" s="65"/>
      <c r="I17" s="65"/>
      <c r="J17" s="65"/>
      <c r="K17" s="65"/>
    </row>
    <row r="18" spans="2:11" x14ac:dyDescent="0.25">
      <c r="B18" s="65"/>
      <c r="C18" s="65"/>
      <c r="D18" s="65"/>
      <c r="E18" s="65"/>
      <c r="F18" s="65"/>
      <c r="G18" s="65"/>
      <c r="H18" s="65"/>
      <c r="I18" s="65"/>
      <c r="J18" s="65"/>
      <c r="K18" s="65"/>
    </row>
    <row r="19" spans="2:11" x14ac:dyDescent="0.25">
      <c r="B19" s="65"/>
      <c r="C19" s="65"/>
      <c r="D19" s="65"/>
      <c r="E19" s="65"/>
      <c r="F19" s="65"/>
      <c r="G19" s="65"/>
      <c r="H19" s="65"/>
      <c r="I19" s="65"/>
      <c r="J19" s="65"/>
      <c r="K19" s="65"/>
    </row>
    <row r="20" spans="2:11" x14ac:dyDescent="0.25">
      <c r="B20" s="65"/>
      <c r="C20" s="65"/>
      <c r="D20" s="65"/>
      <c r="E20" s="65"/>
      <c r="F20" s="65"/>
      <c r="G20" s="65"/>
      <c r="H20" s="65"/>
      <c r="I20" s="65"/>
      <c r="J20" s="65"/>
      <c r="K20" s="65"/>
    </row>
    <row r="21" spans="2:11" x14ac:dyDescent="0.25">
      <c r="B21" s="65"/>
      <c r="C21" s="65"/>
      <c r="D21" s="65"/>
      <c r="E21" s="65"/>
      <c r="F21" s="65"/>
      <c r="G21" s="65"/>
      <c r="H21" s="65"/>
      <c r="I21" s="65"/>
      <c r="J21" s="65"/>
      <c r="K21" s="65"/>
    </row>
    <row r="22" spans="2:11" x14ac:dyDescent="0.25">
      <c r="B22" s="65"/>
      <c r="C22" s="65"/>
      <c r="D22" s="65"/>
      <c r="E22" s="65"/>
      <c r="F22" s="65"/>
      <c r="G22" s="65"/>
      <c r="H22" s="65"/>
      <c r="I22" s="65"/>
      <c r="J22" s="65"/>
      <c r="K22" s="65"/>
    </row>
    <row r="23" spans="2:11" x14ac:dyDescent="0.25">
      <c r="B23" s="65"/>
      <c r="C23" s="65"/>
      <c r="D23" s="65"/>
      <c r="E23" s="65"/>
      <c r="F23" s="65"/>
      <c r="G23" s="65"/>
      <c r="H23" s="65"/>
      <c r="I23" s="65"/>
      <c r="J23" s="65"/>
      <c r="K23" s="65"/>
    </row>
    <row r="24" spans="2:11" x14ac:dyDescent="0.25">
      <c r="B24" s="65"/>
      <c r="C24" s="65"/>
      <c r="D24" s="65"/>
      <c r="E24" s="65"/>
      <c r="F24" s="65"/>
      <c r="G24" s="65"/>
      <c r="H24" s="65"/>
      <c r="I24" s="65"/>
      <c r="J24" s="65"/>
      <c r="K24" s="65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12"/>
  <sheetViews>
    <sheetView workbookViewId="0">
      <selection activeCell="G6" sqref="G6"/>
    </sheetView>
  </sheetViews>
  <sheetFormatPr defaultRowHeight="15" x14ac:dyDescent="0.25"/>
  <sheetData>
    <row r="3" spans="1:9" ht="16.5" x14ac:dyDescent="0.35">
      <c r="F3" s="64" t="s">
        <v>159</v>
      </c>
      <c r="G3" s="64"/>
      <c r="H3" s="64"/>
      <c r="I3" s="64"/>
    </row>
    <row r="7" spans="1:9" ht="15" customHeight="1" x14ac:dyDescent="0.25">
      <c r="A7" s="66" t="s">
        <v>129</v>
      </c>
      <c r="B7" s="66"/>
      <c r="C7" s="66"/>
      <c r="D7" s="66"/>
    </row>
    <row r="8" spans="1:9" ht="15" customHeight="1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139</v>
      </c>
      <c r="B11" s="68"/>
      <c r="C11" s="69" t="s">
        <v>140</v>
      </c>
      <c r="D11" s="69"/>
    </row>
    <row r="12" spans="1:9" x14ac:dyDescent="0.25">
      <c r="A12" s="68"/>
      <c r="B12" s="68"/>
      <c r="C12" s="69"/>
      <c r="D12" s="69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AB20"/>
  <sheetViews>
    <sheetView workbookViewId="0">
      <selection activeCell="F13" sqref="F13"/>
    </sheetView>
  </sheetViews>
  <sheetFormatPr defaultRowHeight="15" x14ac:dyDescent="0.25"/>
  <cols>
    <col min="6" max="6" width="10.85546875" customWidth="1"/>
  </cols>
  <sheetData>
    <row r="3" spans="1:28" ht="16.5" x14ac:dyDescent="0.35">
      <c r="F3" s="64" t="s">
        <v>159</v>
      </c>
      <c r="G3" s="64"/>
      <c r="H3" s="64"/>
      <c r="I3" s="64"/>
    </row>
    <row r="7" spans="1:28" x14ac:dyDescent="0.25">
      <c r="A7" s="83" t="s">
        <v>130</v>
      </c>
      <c r="B7" s="83"/>
      <c r="C7" s="83"/>
      <c r="D7" s="83"/>
      <c r="I7" s="68" t="s">
        <v>139</v>
      </c>
      <c r="J7" s="68"/>
      <c r="N7" s="69" t="s">
        <v>140</v>
      </c>
      <c r="O7" s="69"/>
    </row>
    <row r="8" spans="1:28" x14ac:dyDescent="0.25">
      <c r="A8" s="83"/>
      <c r="B8" s="83"/>
      <c r="C8" s="83"/>
      <c r="D8" s="83"/>
      <c r="I8" s="68"/>
      <c r="J8" s="68"/>
      <c r="N8" s="69"/>
      <c r="O8" s="69"/>
    </row>
    <row r="10" spans="1:28" x14ac:dyDescent="0.25">
      <c r="A10" s="73" t="s">
        <v>131</v>
      </c>
      <c r="B10" s="73"/>
      <c r="C10" s="73"/>
      <c r="D10" s="73"/>
      <c r="E10" s="20"/>
      <c r="F10" s="20">
        <f>IF(E10&lt;UnosPodataka!$M$18,E10+1,"")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>
        <f>IF(T10&lt;UnosPodataka!$M$21,T10+1,"")</f>
        <v>16</v>
      </c>
      <c r="V10" s="20">
        <f>IF(U10&lt;UnosPodataka!$M$21,U10+1,"")</f>
        <v>17</v>
      </c>
      <c r="W10" s="20">
        <f>IF(V10&lt;UnosPodataka!$M$21,V10+1,"")</f>
        <v>18</v>
      </c>
      <c r="X10" s="20">
        <f>IF(W10&lt;UnosPodataka!$M$21,W10+1,"")</f>
        <v>19</v>
      </c>
      <c r="Y10" s="20">
        <f>IF(X10&lt;UnosPodataka!$M$21,X10+1,"")</f>
        <v>20</v>
      </c>
      <c r="Z10" s="21"/>
      <c r="AA10" s="21"/>
      <c r="AB10" s="21"/>
    </row>
    <row r="12" spans="1:28" x14ac:dyDescent="0.25">
      <c r="A12" s="74" t="s">
        <v>132</v>
      </c>
      <c r="B12" s="74"/>
      <c r="C12" s="74"/>
      <c r="D12" s="74"/>
      <c r="E12" s="4"/>
      <c r="F12" s="4">
        <f>Investment</f>
        <v>26160</v>
      </c>
    </row>
    <row r="13" spans="1:28" x14ac:dyDescent="0.25">
      <c r="A13" s="74" t="s">
        <v>133</v>
      </c>
      <c r="B13" s="74"/>
      <c r="C13" s="74"/>
      <c r="D13" s="74"/>
      <c r="F13" s="4">
        <f>IF(F10&lt;&gt;"",-(FinaIndicators!F28+FinaIndicators!F33),"")</f>
        <v>3031.570954687927</v>
      </c>
      <c r="G13" s="4">
        <f>IF(G10&lt;&gt;"",-(FinaIndicators!G28+FinaIndicators!G33),"")</f>
        <v>3021.0095411683697</v>
      </c>
      <c r="H13" s="4">
        <f>IF(H10&lt;&gt;"",-(FinaIndicators!H28+FinaIndicators!H33),"")</f>
        <v>3009.1807580264649</v>
      </c>
      <c r="I13" s="4">
        <f>IF(I10&lt;&gt;"",-(FinaIndicators!I28+FinaIndicators!I33),"")</f>
        <v>2995.9325209075314</v>
      </c>
      <c r="J13" s="4">
        <f>IF(J10&lt;&gt;"",-(FinaIndicators!J28+FinaIndicators!J33),"")</f>
        <v>2981.0944953343269</v>
      </c>
      <c r="K13" s="4">
        <f>IF(K10&lt;&gt;"",-(FinaIndicators!K28+FinaIndicators!K33),"")</f>
        <v>2964.475906692337</v>
      </c>
      <c r="L13" s="4">
        <f>IF(L10&lt;&gt;"",-(FinaIndicators!L28+FinaIndicators!L33),"")</f>
        <v>2945.8630874133087</v>
      </c>
      <c r="M13" s="4">
        <f>IF(M10&lt;&gt;"",-(FinaIndicators!M28+FinaIndicators!M33),"")</f>
        <v>2925.0167298207966</v>
      </c>
      <c r="N13" s="4">
        <f>IF(N10&lt;&gt;"",-(FinaIndicators!N28+FinaIndicators!N33),"")</f>
        <v>2901.6688093171833</v>
      </c>
      <c r="O13" s="4">
        <f>IF(O10&lt;&gt;"",-(FinaIndicators!O28+FinaIndicators!O33),"")</f>
        <v>2875.5191383531364</v>
      </c>
      <c r="P13" s="4">
        <f>IF(P10&lt;&gt;"",-(FinaIndicators!P28+FinaIndicators!P33),"")</f>
        <v>2846.2315068734042</v>
      </c>
      <c r="Q13" s="4">
        <f>IF(Q10&lt;&gt;"",-(FinaIndicators!Q28+FinaIndicators!Q33),"")</f>
        <v>2813.4293596161037</v>
      </c>
      <c r="R13" s="4">
        <f>IF(R10&lt;&gt;"",-(FinaIndicators!R28+FinaIndicators!R33),"")</f>
        <v>490.74575915694663</v>
      </c>
      <c r="S13" s="4">
        <f>IF(S10&lt;&gt;"",-(FinaIndicators!S28+FinaIndicators!S33),"")</f>
        <v>490.74575915694663</v>
      </c>
      <c r="T13" s="4">
        <f>IF(T10&lt;&gt;"",-(FinaIndicators!T28+FinaIndicators!T33),"")</f>
        <v>490.74575915694663</v>
      </c>
      <c r="U13" s="4">
        <f>IF(U10&lt;&gt;"",-(FinaIndicators!U28+FinaIndicators!U33),"")</f>
        <v>490.74575915694663</v>
      </c>
      <c r="V13" s="4">
        <f>IF(V10&lt;&gt;"",-(FinaIndicators!V28+FinaIndicators!V33),"")</f>
        <v>490.74575915694663</v>
      </c>
      <c r="W13" s="4">
        <f>IF(W10&lt;&gt;"",-(FinaIndicators!W28+FinaIndicators!W33),"")</f>
        <v>490.74575915694663</v>
      </c>
      <c r="X13" s="4">
        <f>IF(X10&lt;&gt;"",-(FinaIndicators!X28+FinaIndicators!X33),"")</f>
        <v>490.74575915694663</v>
      </c>
      <c r="Y13" s="4">
        <f>IF(Y10&lt;&gt;"",-(FinaIndicators!Y28+FinaIndicators!Y33),"")</f>
        <v>490.74575915694663</v>
      </c>
    </row>
    <row r="14" spans="1:28" x14ac:dyDescent="0.25">
      <c r="A14" s="74" t="s">
        <v>134</v>
      </c>
      <c r="B14" s="74"/>
      <c r="C14" s="74"/>
      <c r="D14" s="74"/>
      <c r="E14" s="4"/>
      <c r="F14" s="4">
        <f t="shared" ref="F14:Y14" si="0">IF(F10&lt;&gt;"",F12+F13,"")</f>
        <v>29191.570954687926</v>
      </c>
      <c r="G14" s="4">
        <f t="shared" si="0"/>
        <v>3021.0095411683697</v>
      </c>
      <c r="H14" s="4">
        <f t="shared" si="0"/>
        <v>3009.1807580264649</v>
      </c>
      <c r="I14" s="4">
        <f t="shared" si="0"/>
        <v>2995.9325209075314</v>
      </c>
      <c r="J14" s="4">
        <f t="shared" si="0"/>
        <v>2981.0944953343269</v>
      </c>
      <c r="K14" s="4">
        <f t="shared" si="0"/>
        <v>2964.475906692337</v>
      </c>
      <c r="L14" s="4">
        <f t="shared" si="0"/>
        <v>2945.8630874133087</v>
      </c>
      <c r="M14" s="4">
        <f t="shared" si="0"/>
        <v>2925.0167298207966</v>
      </c>
      <c r="N14" s="4">
        <f t="shared" si="0"/>
        <v>2901.6688093171833</v>
      </c>
      <c r="O14" s="4">
        <f t="shared" si="0"/>
        <v>2875.5191383531364</v>
      </c>
      <c r="P14" s="4">
        <f t="shared" si="0"/>
        <v>2846.2315068734042</v>
      </c>
      <c r="Q14" s="4">
        <f t="shared" si="0"/>
        <v>2813.4293596161037</v>
      </c>
      <c r="R14" s="4">
        <f t="shared" si="0"/>
        <v>490.74575915694663</v>
      </c>
      <c r="S14" s="4">
        <f t="shared" si="0"/>
        <v>490.74575915694663</v>
      </c>
      <c r="T14" s="4">
        <f t="shared" si="0"/>
        <v>490.74575915694663</v>
      </c>
      <c r="U14" s="4">
        <f t="shared" si="0"/>
        <v>490.74575915694663</v>
      </c>
      <c r="V14" s="4">
        <f t="shared" si="0"/>
        <v>490.74575915694663</v>
      </c>
      <c r="W14" s="4">
        <f>IF(W10&lt;&gt;"",W12+W13,"")</f>
        <v>490.74575915694663</v>
      </c>
      <c r="X14" s="4">
        <f t="shared" si="0"/>
        <v>490.74575915694663</v>
      </c>
      <c r="Y14" s="4">
        <f t="shared" si="0"/>
        <v>490.74575915694663</v>
      </c>
    </row>
    <row r="15" spans="1:28" x14ac:dyDescent="0.25">
      <c r="A15" s="75"/>
      <c r="B15" s="75"/>
      <c r="C15" s="75"/>
      <c r="D15" s="75"/>
    </row>
    <row r="16" spans="1:28" x14ac:dyDescent="0.25">
      <c r="A16" s="74" t="s">
        <v>135</v>
      </c>
      <c r="B16" s="74"/>
      <c r="C16" s="74"/>
      <c r="D16" s="74"/>
      <c r="F16" s="4">
        <f>IF(F10&lt;&gt;"",FinaIndicators!F14,"")</f>
        <v>180.17076</v>
      </c>
      <c r="G16" s="4">
        <f>IF(G10&lt;&gt;"",FinaIndicators!G14,"")</f>
        <v>180.17076</v>
      </c>
      <c r="H16" s="4">
        <f>IF(H10&lt;&gt;"",FinaIndicators!H14,"")</f>
        <v>180.17076</v>
      </c>
      <c r="I16" s="4">
        <f>IF(I10&lt;&gt;"",FinaIndicators!I14,"")</f>
        <v>180.17076</v>
      </c>
      <c r="J16" s="4">
        <f>IF(J10&lt;&gt;"",FinaIndicators!J14,"")</f>
        <v>180.17076</v>
      </c>
      <c r="K16" s="4">
        <f>IF(K10&lt;&gt;"",FinaIndicators!K14,"")</f>
        <v>180.17076</v>
      </c>
      <c r="L16" s="4">
        <f>IF(L10&lt;&gt;"",FinaIndicators!L14,"")</f>
        <v>180.17076</v>
      </c>
      <c r="M16" s="4">
        <f>IF(M10&lt;&gt;"",FinaIndicators!M14,"")</f>
        <v>180.17076</v>
      </c>
      <c r="N16" s="4">
        <f>IF(N10&lt;&gt;"",FinaIndicators!N14,"")</f>
        <v>180.17076</v>
      </c>
      <c r="O16" s="4">
        <f>IF(O10&lt;&gt;"",FinaIndicators!O14,"")</f>
        <v>180.17076</v>
      </c>
      <c r="P16" s="4">
        <f>IF(P10&lt;&gt;"",FinaIndicators!P14,"")</f>
        <v>180.17076</v>
      </c>
      <c r="Q16" s="4">
        <f>IF(Q10&lt;&gt;"",FinaIndicators!Q14,"")</f>
        <v>180.17076</v>
      </c>
      <c r="R16" s="4">
        <f>IF(R10&lt;&gt;"",FinaIndicators!R14,"")</f>
        <v>180.17076</v>
      </c>
      <c r="S16" s="4">
        <f>IF(S10&lt;&gt;"",FinaIndicators!S14,"")</f>
        <v>180.17076</v>
      </c>
      <c r="T16" s="4">
        <f>IF(T10&lt;&gt;"",FinaIndicators!T14,"")</f>
        <v>180.17076</v>
      </c>
      <c r="U16" s="4">
        <f>IF(U10&lt;&gt;"",FinaIndicators!U14,"")</f>
        <v>180.17076</v>
      </c>
      <c r="V16" s="4">
        <f>IF(V10&lt;&gt;"",FinaIndicators!V14,"")</f>
        <v>180.17076</v>
      </c>
      <c r="W16" s="4">
        <f>IF(W10&lt;&gt;"",FinaIndicators!W14,"")</f>
        <v>180.17076</v>
      </c>
      <c r="X16" s="4">
        <f>IF(X10&lt;&gt;"",FinaIndicators!X14,"")</f>
        <v>180.17076</v>
      </c>
      <c r="Y16" s="4">
        <f>IF(Y10&lt;&gt;"",FinaIndicators!Y14,"")</f>
        <v>180.17076</v>
      </c>
    </row>
    <row r="17" spans="1:25" ht="18" x14ac:dyDescent="0.35">
      <c r="A17" s="74" t="s">
        <v>136</v>
      </c>
      <c r="B17" s="74"/>
      <c r="C17" s="74"/>
      <c r="D17" s="74"/>
      <c r="F17" s="4">
        <f>IF(F10&lt;&gt;"",F16*UnosPodataka!$M$20,"")</f>
        <v>49.105250040000016</v>
      </c>
      <c r="G17" s="4">
        <f>IF(G10&lt;&gt;"",G16*UnosPodataka!$M$20,"")</f>
        <v>49.105250040000016</v>
      </c>
      <c r="H17" s="4">
        <f>IF(H10&lt;&gt;"",H16*UnosPodataka!$M$20,"")</f>
        <v>49.105250040000016</v>
      </c>
      <c r="I17" s="4">
        <f>IF(I10&lt;&gt;"",I16*UnosPodataka!$M$20,"")</f>
        <v>49.105250040000016</v>
      </c>
      <c r="J17" s="4">
        <f>IF(J10&lt;&gt;"",J16*UnosPodataka!$M$20,"")</f>
        <v>49.105250040000016</v>
      </c>
      <c r="K17" s="4">
        <f>IF(K10&lt;&gt;"",K16*UnosPodataka!$M$20,"")</f>
        <v>49.105250040000016</v>
      </c>
      <c r="L17" s="4">
        <f>IF(L10&lt;&gt;"",L16*UnosPodataka!$M$20,"")</f>
        <v>49.105250040000016</v>
      </c>
      <c r="M17" s="4">
        <f>IF(M10&lt;&gt;"",M16*UnosPodataka!$M$20,"")</f>
        <v>49.105250040000016</v>
      </c>
      <c r="N17" s="4">
        <f>IF(N10&lt;&gt;"",N16*UnosPodataka!$M$20,"")</f>
        <v>49.105250040000016</v>
      </c>
      <c r="O17" s="4">
        <f>IF(O10&lt;&gt;"",O16*UnosPodataka!$M$20,"")</f>
        <v>49.105250040000016</v>
      </c>
      <c r="P17" s="4">
        <f>IF(P10&lt;&gt;"",P16*UnosPodataka!$M$20,"")</f>
        <v>49.105250040000016</v>
      </c>
      <c r="Q17" s="4">
        <f>IF(Q10&lt;&gt;"",Q16*UnosPodataka!$M$20,"")</f>
        <v>49.105250040000016</v>
      </c>
      <c r="R17" s="4">
        <f>IF(R10&lt;&gt;"",R16*UnosPodataka!$M$20,"")</f>
        <v>49.105250040000016</v>
      </c>
      <c r="S17" s="4">
        <f>IF(S10&lt;&gt;"",S16*UnosPodataka!$M$20,"")</f>
        <v>49.105250040000016</v>
      </c>
      <c r="T17" s="4">
        <f>IF(T10&lt;&gt;"",T16*UnosPodataka!$M$20,"")</f>
        <v>49.105250040000016</v>
      </c>
      <c r="U17" s="4">
        <f>IF(U10&lt;&gt;"",U16*UnosPodataka!$M$20,"")</f>
        <v>49.105250040000016</v>
      </c>
      <c r="V17" s="4">
        <f>IF(V10&lt;&gt;"",V16*UnosPodataka!$M$20,"")</f>
        <v>49.105250040000016</v>
      </c>
      <c r="W17" s="4">
        <f>IF(W10&lt;&gt;"",W16*UnosPodataka!$M$20,"")</f>
        <v>49.105250040000016</v>
      </c>
      <c r="X17" s="4">
        <f>IF(X10&lt;&gt;"",X16*UnosPodataka!$M$20,"")</f>
        <v>49.105250040000016</v>
      </c>
      <c r="Y17" s="4">
        <f>IF(Y10&lt;&gt;"",Y16*UnosPodataka!$M$20,"")</f>
        <v>49.105250040000016</v>
      </c>
    </row>
    <row r="19" spans="1:25" x14ac:dyDescent="0.25">
      <c r="A19" s="73" t="s">
        <v>34</v>
      </c>
      <c r="B19" s="73"/>
      <c r="C19" s="73"/>
      <c r="D19" s="73"/>
      <c r="E19" s="4">
        <f>NPV(UnosPodataka!M15,LCoEE!F14:Y14)/NPV(UnosPodataka!M15,LCoEE!F16:Y16)</f>
        <v>24.66657383100398</v>
      </c>
    </row>
    <row r="20" spans="1:25" ht="18" x14ac:dyDescent="0.35">
      <c r="A20" s="73" t="s">
        <v>35</v>
      </c>
      <c r="B20" s="73"/>
      <c r="C20" s="73"/>
      <c r="D20" s="73"/>
      <c r="E20" s="4">
        <f>NPV(UnosPodataka!M15,LCoEE!F14:Y14)/NPV(UnosPodataka!M15,LCoEE!F17:Y17)</f>
        <v>90.503466535817665</v>
      </c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F3:I3"/>
    <mergeCell ref="I7:J8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T32"/>
  <sheetViews>
    <sheetView workbookViewId="0">
      <selection activeCell="H21" sqref="H21"/>
    </sheetView>
  </sheetViews>
  <sheetFormatPr defaultRowHeight="15" x14ac:dyDescent="0.25"/>
  <cols>
    <col min="1" max="1" width="12.7109375" customWidth="1"/>
    <col min="2" max="2" width="12" customWidth="1"/>
    <col min="4" max="4" width="12.85546875" customWidth="1"/>
    <col min="20" max="21" width="0" hidden="1" customWidth="1"/>
  </cols>
  <sheetData>
    <row r="3" spans="1:20" ht="16.5" x14ac:dyDescent="0.35">
      <c r="E3" s="64" t="s">
        <v>159</v>
      </c>
      <c r="F3" s="64"/>
      <c r="G3" s="64"/>
      <c r="H3" s="64"/>
    </row>
    <row r="7" spans="1:20" ht="21" x14ac:dyDescent="0.35">
      <c r="A7" s="71" t="s">
        <v>137</v>
      </c>
      <c r="B7" s="71"/>
      <c r="C7" s="71"/>
      <c r="D7" s="71"/>
    </row>
    <row r="8" spans="1:20" ht="15.75" thickBot="1" x14ac:dyDescent="0.3"/>
    <row r="9" spans="1:20" ht="15.75" thickBot="1" x14ac:dyDescent="0.3">
      <c r="B9" s="48" t="s">
        <v>189</v>
      </c>
      <c r="C9" s="49"/>
      <c r="D9" s="48" t="s">
        <v>190</v>
      </c>
      <c r="E9" s="49"/>
      <c r="T9" s="51" t="s">
        <v>199</v>
      </c>
    </row>
    <row r="10" spans="1:20" ht="15.75" thickBot="1" x14ac:dyDescent="0.3">
      <c r="B10" s="50" t="s">
        <v>191</v>
      </c>
      <c r="C10" s="50" t="s">
        <v>192</v>
      </c>
      <c r="D10" s="50" t="s">
        <v>191</v>
      </c>
      <c r="E10" s="50" t="s">
        <v>192</v>
      </c>
      <c r="T10" s="51" t="s">
        <v>200</v>
      </c>
    </row>
    <row r="12" spans="1:20" x14ac:dyDescent="0.25">
      <c r="A12" s="51" t="s">
        <v>193</v>
      </c>
      <c r="B12" s="52">
        <v>29877.653978120135</v>
      </c>
      <c r="C12" s="53">
        <v>0.19277737750678647</v>
      </c>
      <c r="D12" s="52">
        <v>56783.565250935368</v>
      </c>
      <c r="E12" s="10">
        <v>0.29729332809140385</v>
      </c>
    </row>
    <row r="13" spans="1:20" x14ac:dyDescent="0.25">
      <c r="B13" s="52"/>
      <c r="D13" s="52"/>
    </row>
    <row r="14" spans="1:20" x14ac:dyDescent="0.25">
      <c r="A14" s="51" t="s">
        <v>194</v>
      </c>
      <c r="B14" s="52"/>
      <c r="D14" s="52"/>
    </row>
    <row r="15" spans="1:20" x14ac:dyDescent="0.25">
      <c r="A15" s="23">
        <v>0.1</v>
      </c>
      <c r="B15" s="52">
        <v>36619.436181267658</v>
      </c>
      <c r="C15" s="53">
        <v>0.21918216406221669</v>
      </c>
      <c r="D15" s="52">
        <v>63525.347454082905</v>
      </c>
      <c r="E15" s="10">
        <v>0.32327680428888184</v>
      </c>
    </row>
    <row r="16" spans="1:20" x14ac:dyDescent="0.25">
      <c r="A16" s="23">
        <v>-0.1</v>
      </c>
      <c r="B16" s="52">
        <v>23135.871774972595</v>
      </c>
      <c r="C16" s="53">
        <v>0.16608486996286409</v>
      </c>
      <c r="D16" s="52">
        <v>50041.783047787809</v>
      </c>
      <c r="E16" s="10">
        <v>0.2712653614549323</v>
      </c>
    </row>
    <row r="17" spans="1:5" x14ac:dyDescent="0.25">
      <c r="A17" s="9" t="s">
        <v>195</v>
      </c>
      <c r="B17" s="53">
        <v>-0.44315000000000004</v>
      </c>
      <c r="C17" s="53"/>
      <c r="D17" s="53">
        <v>-0.84199999999999997</v>
      </c>
      <c r="E17" s="10"/>
    </row>
    <row r="18" spans="1:5" x14ac:dyDescent="0.25">
      <c r="B18" s="52"/>
      <c r="D18" s="52"/>
    </row>
    <row r="19" spans="1:5" x14ac:dyDescent="0.25">
      <c r="A19" s="51" t="s">
        <v>196</v>
      </c>
      <c r="B19" s="52"/>
      <c r="D19" s="52"/>
    </row>
    <row r="20" spans="1:5" x14ac:dyDescent="0.25">
      <c r="A20" s="23">
        <v>0.1</v>
      </c>
      <c r="B20" s="52"/>
      <c r="C20" s="53"/>
      <c r="D20" s="52">
        <v>59474.156378216881</v>
      </c>
      <c r="E20" s="10">
        <v>0.30766722038653627</v>
      </c>
    </row>
    <row r="21" spans="1:5" x14ac:dyDescent="0.25">
      <c r="A21" s="23">
        <v>-0.1</v>
      </c>
      <c r="B21" s="52"/>
      <c r="C21" s="53"/>
      <c r="D21" s="52">
        <v>54092.974123653854</v>
      </c>
      <c r="E21" s="10">
        <v>0.28691246463839892</v>
      </c>
    </row>
    <row r="22" spans="1:5" x14ac:dyDescent="0.25">
      <c r="A22" s="9" t="s">
        <v>195</v>
      </c>
      <c r="B22" s="53"/>
      <c r="C22" s="53"/>
      <c r="D22" s="55" t="s">
        <v>198</v>
      </c>
      <c r="E22" s="10"/>
    </row>
    <row r="23" spans="1:5" x14ac:dyDescent="0.25">
      <c r="B23" s="52"/>
      <c r="D23" s="52"/>
    </row>
    <row r="24" spans="1:5" x14ac:dyDescent="0.25">
      <c r="A24" s="51" t="s">
        <v>197</v>
      </c>
      <c r="B24" s="54"/>
      <c r="C24" s="53"/>
      <c r="D24" s="54"/>
      <c r="E24" s="10"/>
    </row>
    <row r="25" spans="1:5" x14ac:dyDescent="0.25">
      <c r="A25" s="23">
        <v>0.1</v>
      </c>
      <c r="B25" s="52">
        <v>22904.61879611008</v>
      </c>
      <c r="C25" s="53">
        <v>0.16369313896261239</v>
      </c>
      <c r="D25" s="52">
        <v>48761.451349371047</v>
      </c>
      <c r="E25" s="10">
        <v>0.25918734596152126</v>
      </c>
    </row>
    <row r="26" spans="1:5" x14ac:dyDescent="0.25">
      <c r="A26" s="23">
        <v>-0.1</v>
      </c>
      <c r="B26" s="52">
        <v>37706.380810674695</v>
      </c>
      <c r="C26" s="53">
        <v>0.22815735629272949</v>
      </c>
      <c r="D26" s="52">
        <v>65980.753313926951</v>
      </c>
      <c r="E26" s="10">
        <v>0.34386564424967681</v>
      </c>
    </row>
    <row r="27" spans="1:5" x14ac:dyDescent="0.25">
      <c r="A27" s="9" t="s">
        <v>195</v>
      </c>
      <c r="B27" s="53">
        <v>0.4907999999999999</v>
      </c>
      <c r="C27" s="53"/>
      <c r="D27" s="53">
        <v>0.9285000000000001</v>
      </c>
      <c r="E27" s="10"/>
    </row>
    <row r="29" spans="1:5" x14ac:dyDescent="0.25">
      <c r="A29" s="68" t="s">
        <v>139</v>
      </c>
      <c r="B29" s="68"/>
      <c r="D29" s="69" t="s">
        <v>140</v>
      </c>
      <c r="E29" s="69"/>
    </row>
    <row r="30" spans="1:5" x14ac:dyDescent="0.25">
      <c r="A30" s="68"/>
      <c r="B30" s="68"/>
      <c r="D30" s="69"/>
      <c r="E30" s="69"/>
    </row>
    <row r="32" spans="1:5" x14ac:dyDescent="0.25">
      <c r="B32" s="52">
        <f>+FinaIndicators!$E$43</f>
        <v>29877.653978120135</v>
      </c>
      <c r="C32" s="53">
        <f>+FinaIndicators!$E$44</f>
        <v>0.19277737750678647</v>
      </c>
      <c r="D32" s="52">
        <f>+'FinInd+CO2'!$E$44</f>
        <v>63210.211799823352</v>
      </c>
      <c r="E32" s="10">
        <f>+'FinInd+CO2'!$E$45</f>
        <v>0.32206292959664484</v>
      </c>
    </row>
  </sheetData>
  <sheetProtection selectLockedCells="1"/>
  <mergeCells count="4">
    <mergeCell ref="E3:H3"/>
    <mergeCell ref="A29:B30"/>
    <mergeCell ref="D29:E30"/>
    <mergeCell ref="A7:D7"/>
  </mergeCells>
  <hyperlinks>
    <hyperlink ref="A29:B30" location="LCoEE!I1" display="NAZAD"/>
    <hyperlink ref="D29:E30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G7" sqref="G7"/>
    </sheetView>
  </sheetViews>
  <sheetFormatPr defaultRowHeight="15" x14ac:dyDescent="0.25"/>
  <cols>
    <col min="5" max="5" width="11.42578125" customWidth="1"/>
  </cols>
  <sheetData>
    <row r="3" spans="1:25" ht="16.5" x14ac:dyDescent="0.35">
      <c r="F3" s="64" t="s">
        <v>159</v>
      </c>
      <c r="G3" s="64"/>
      <c r="H3" s="64"/>
      <c r="I3" s="64"/>
    </row>
    <row r="7" spans="1:25" x14ac:dyDescent="0.25">
      <c r="A7" s="66" t="s">
        <v>142</v>
      </c>
      <c r="B7" s="66"/>
      <c r="C7" s="66"/>
      <c r="D7" s="66"/>
      <c r="I7" s="68" t="s">
        <v>139</v>
      </c>
      <c r="J7" s="68"/>
      <c r="N7" s="69" t="s">
        <v>140</v>
      </c>
      <c r="O7" s="69"/>
    </row>
    <row r="8" spans="1:25" x14ac:dyDescent="0.25">
      <c r="A8" s="66"/>
      <c r="B8" s="66"/>
      <c r="C8" s="66"/>
      <c r="D8" s="66"/>
      <c r="I8" s="68"/>
      <c r="J8" s="68"/>
      <c r="N8" s="69"/>
      <c r="O8" s="69"/>
    </row>
    <row r="10" spans="1:25" x14ac:dyDescent="0.25">
      <c r="A10" s="73" t="s">
        <v>131</v>
      </c>
      <c r="B10" s="73"/>
      <c r="C10" s="73"/>
      <c r="D10" s="73"/>
      <c r="E10" s="24"/>
      <c r="F10" s="20">
        <f>IF(E10&lt;UnosPodataka!$M$21,E10+1,"")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>
        <f>IF(T10&lt;UnosPodataka!$M$21,T10+1,"")</f>
        <v>16</v>
      </c>
      <c r="V10" s="20">
        <f>IF(U10&lt;UnosPodataka!$M$21,U10+1,"")</f>
        <v>17</v>
      </c>
      <c r="W10" s="20">
        <f>IF(V10&lt;UnosPodataka!$M$21,V10+1,"")</f>
        <v>18</v>
      </c>
      <c r="X10" s="20">
        <f>IF(W10&lt;UnosPodataka!$M$21,W10+1,"")</f>
        <v>19</v>
      </c>
      <c r="Y10" s="20">
        <f>IF(X10&lt;UnosPodataka!$M$21,X10+1,"")</f>
        <v>20</v>
      </c>
    </row>
    <row r="12" spans="1:25" x14ac:dyDescent="0.25">
      <c r="A12" s="74" t="s">
        <v>143</v>
      </c>
      <c r="B12" s="74"/>
      <c r="C12" s="74"/>
      <c r="D12" s="74"/>
      <c r="E12" s="4">
        <v>0</v>
      </c>
      <c r="F12" s="4">
        <f>-FinaIndicators!F27</f>
        <v>1075.2978309801513</v>
      </c>
      <c r="G12" s="4">
        <f>-FinaIndicators!G27</f>
        <v>1075.2978309801513</v>
      </c>
      <c r="H12" s="4">
        <f>-FinaIndicators!H27</f>
        <v>1075.2978309801513</v>
      </c>
      <c r="I12" s="4">
        <f>-FinaIndicators!I27</f>
        <v>1075.2978309801513</v>
      </c>
      <c r="J12" s="4">
        <f>-FinaIndicators!J27</f>
        <v>1075.2978309801513</v>
      </c>
      <c r="K12" s="4">
        <f>-FinaIndicators!K27</f>
        <v>1075.2978309801513</v>
      </c>
      <c r="L12" s="4">
        <f>-FinaIndicators!L27</f>
        <v>1075.2978309801513</v>
      </c>
      <c r="M12" s="4">
        <f>-FinaIndicators!M27</f>
        <v>1075.2978309801513</v>
      </c>
      <c r="N12" s="4">
        <f>-FinaIndicators!N27</f>
        <v>1075.2978309801513</v>
      </c>
      <c r="O12" s="4">
        <f>-FinaIndicators!O27</f>
        <v>1075.2978309801513</v>
      </c>
      <c r="P12" s="4">
        <f>-FinaIndicators!P27</f>
        <v>1075.2978309801513</v>
      </c>
      <c r="Q12" s="4">
        <f>-FinaIndicators!Q27</f>
        <v>1075.2978309801513</v>
      </c>
      <c r="R12" s="4">
        <f>-FinaIndicators!R27</f>
        <v>1075.2978309801513</v>
      </c>
      <c r="S12" s="4">
        <f>-FinaIndicators!S27</f>
        <v>1075.2978309801513</v>
      </c>
      <c r="T12" s="4">
        <f>-FinaIndicators!T27</f>
        <v>1075.2978309801513</v>
      </c>
      <c r="U12" s="4">
        <f>-FinaIndicators!U27</f>
        <v>1075.2978309801513</v>
      </c>
      <c r="V12" s="4">
        <f>-FinaIndicators!V27</f>
        <v>1075.2978309801513</v>
      </c>
      <c r="W12" s="4">
        <f>-FinaIndicators!W27</f>
        <v>1075.2978309801513</v>
      </c>
      <c r="X12" s="4">
        <f>-FinaIndicators!X27</f>
        <v>1075.2978309801513</v>
      </c>
      <c r="Y12" s="4">
        <f>-FinaIndicators!Y27</f>
        <v>1075.2978309801513</v>
      </c>
    </row>
    <row r="13" spans="1:25" x14ac:dyDescent="0.25">
      <c r="A13" s="74" t="s">
        <v>144</v>
      </c>
      <c r="B13" s="74"/>
      <c r="C13" s="74"/>
      <c r="D13" s="74"/>
      <c r="E13" s="4">
        <v>0</v>
      </c>
      <c r="F13" s="4">
        <f>IF(F10&lt;&gt;0,F12*(1+UnosPodataka!$M$15)^(-F10),"")</f>
        <v>1014.4319160190105</v>
      </c>
      <c r="G13" s="4">
        <f>IF(G10&lt;&gt;0,G12*(1+UnosPodataka!$M$15)^(-G10),"")</f>
        <v>957.01124152736838</v>
      </c>
      <c r="H13" s="4">
        <f>IF(H10&lt;&gt;0,H12*(1+UnosPodataka!$M$15)^(-H10),"")</f>
        <v>902.84079389374369</v>
      </c>
      <c r="I13" s="4">
        <f>IF(I10&lt;&gt;0,I12*(1+UnosPodataka!$M$15)^(-I10),"")</f>
        <v>851.73659801296571</v>
      </c>
      <c r="J13" s="4">
        <f>IF(J10&lt;&gt;0,J12*(1+UnosPodataka!$M$15)^(-J10),"")</f>
        <v>803.5250924650619</v>
      </c>
      <c r="K13" s="4">
        <f>IF(K10&lt;&gt;0,K12*(1+UnosPodataka!$M$15)^(-K10),"")</f>
        <v>758.0425400613791</v>
      </c>
      <c r="L13" s="4">
        <f>IF(L10&lt;&gt;0,L12*(1+UnosPodataka!$M$15)^(-L10),"")</f>
        <v>715.13447175601789</v>
      </c>
      <c r="M13" s="4">
        <f>IF(M10&lt;&gt;0,M12*(1+UnosPodataka!$M$15)^(-M10),"")</f>
        <v>674.6551620339792</v>
      </c>
      <c r="N13" s="4">
        <f>IF(N10&lt;&gt;0,N12*(1+UnosPodataka!$M$15)^(-N10),"")</f>
        <v>636.46713399431997</v>
      </c>
      <c r="O13" s="4">
        <f>IF(O10&lt;&gt;0,O12*(1+UnosPodataka!$M$15)^(-O10),"")</f>
        <v>600.44069244747163</v>
      </c>
      <c r="P13" s="4">
        <f>IF(P10&lt;&gt;0,P12*(1+UnosPodataka!$M$15)^(-P10),"")</f>
        <v>566.45348344101092</v>
      </c>
      <c r="Q13" s="4">
        <f>IF(Q10&lt;&gt;0,Q12*(1+UnosPodataka!$M$15)^(-Q10),"")</f>
        <v>534.39007871793478</v>
      </c>
      <c r="R13" s="4">
        <f>IF(R10&lt;&gt;0,R12*(1+UnosPodataka!$M$15)^(-R10),"")</f>
        <v>504.1415836961649</v>
      </c>
      <c r="S13" s="4">
        <f>IF(S10&lt;&gt;0,S12*(1+UnosPodataka!$M$15)^(-S10),"")</f>
        <v>475.60526763789147</v>
      </c>
      <c r="T13" s="4">
        <f>IF(T10&lt;&gt;0,T12*(1+UnosPodataka!$M$15)^(-T10),"")</f>
        <v>448.68421475272766</v>
      </c>
      <c r="U13" s="4">
        <f>IF(U10&lt;&gt;0,U12*(1+UnosPodataka!$M$15)^(-U10),"")</f>
        <v>423.28699504974321</v>
      </c>
      <c r="V13" s="4">
        <f>IF(V10&lt;&gt;0,V12*(1+UnosPodataka!$M$15)^(-V10),"")</f>
        <v>399.32735382051237</v>
      </c>
      <c r="W13" s="4">
        <f>IF(W10&lt;&gt;0,W12*(1+UnosPodataka!$M$15)^(-W10),"")</f>
        <v>376.72391869859661</v>
      </c>
      <c r="X13" s="4">
        <f>IF(X10&lt;&gt;0,X12*(1+UnosPodataka!$M$15)^(-X10),"")</f>
        <v>355.39992330056276</v>
      </c>
      <c r="Y13" s="4">
        <f>IF(Y10&lt;&gt;0,Y12*(1+UnosPodataka!$M$15)^(-Y10),"")</f>
        <v>335.28294650996492</v>
      </c>
    </row>
    <row r="15" spans="1:25" x14ac:dyDescent="0.25">
      <c r="A15" s="84" t="s">
        <v>32</v>
      </c>
      <c r="B15" s="84"/>
      <c r="C15" s="84"/>
      <c r="D15" s="84"/>
      <c r="E15" s="22">
        <f>NPV(UnosPodataka!M15,AkoESCO!F12:Y12)</f>
        <v>12333.581407836429</v>
      </c>
    </row>
    <row r="16" spans="1:25" x14ac:dyDescent="0.25">
      <c r="A16" s="84" t="s">
        <v>33</v>
      </c>
      <c r="B16" s="84"/>
      <c r="C16" s="84"/>
      <c r="D16" s="84"/>
      <c r="E16" s="9" t="s">
        <v>145</v>
      </c>
    </row>
  </sheetData>
  <mergeCells count="9">
    <mergeCell ref="A13:D13"/>
    <mergeCell ref="A15:D15"/>
    <mergeCell ref="A16:D16"/>
    <mergeCell ref="I7:J8"/>
    <mergeCell ref="N7:O8"/>
    <mergeCell ref="A7:D8"/>
    <mergeCell ref="A10:D10"/>
    <mergeCell ref="A12:D12"/>
    <mergeCell ref="F3:I3"/>
  </mergeCells>
  <hyperlinks>
    <hyperlink ref="I7:J8" location="SALCoEE!A9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G7" sqref="G7"/>
    </sheetView>
  </sheetViews>
  <sheetFormatPr defaultRowHeight="15" x14ac:dyDescent="0.25"/>
  <sheetData>
    <row r="3" spans="1:9" ht="16.5" x14ac:dyDescent="0.35">
      <c r="F3" s="64" t="s">
        <v>159</v>
      </c>
      <c r="G3" s="64"/>
      <c r="H3" s="64"/>
      <c r="I3" s="64"/>
    </row>
    <row r="7" spans="1:9" x14ac:dyDescent="0.25">
      <c r="A7" s="66" t="s">
        <v>146</v>
      </c>
      <c r="B7" s="66"/>
      <c r="C7" s="66"/>
      <c r="D7" s="66"/>
    </row>
    <row r="8" spans="1:9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68" t="s">
        <v>139</v>
      </c>
      <c r="B11" s="68"/>
      <c r="D11" s="69" t="s">
        <v>140</v>
      </c>
      <c r="E11" s="69"/>
    </row>
    <row r="12" spans="1:9" x14ac:dyDescent="0.25">
      <c r="A12" s="68"/>
      <c r="B12" s="68"/>
      <c r="D12" s="69"/>
      <c r="E12" s="69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M24" sqref="M24"/>
    </sheetView>
  </sheetViews>
  <sheetFormatPr defaultRowHeight="15" x14ac:dyDescent="0.25"/>
  <sheetData>
    <row r="3" spans="1:9" ht="16.5" x14ac:dyDescent="0.35">
      <c r="F3" s="64" t="s">
        <v>159</v>
      </c>
      <c r="G3" s="64"/>
      <c r="H3" s="64"/>
      <c r="I3" s="64"/>
    </row>
    <row r="7" spans="1:9" x14ac:dyDescent="0.25">
      <c r="A7" s="66" t="s">
        <v>147</v>
      </c>
      <c r="B7" s="66"/>
      <c r="C7" s="66"/>
      <c r="D7" s="66"/>
    </row>
    <row r="8" spans="1:9" x14ac:dyDescent="0.25">
      <c r="A8" s="66"/>
      <c r="B8" s="66"/>
      <c r="C8" s="66"/>
      <c r="D8" s="66"/>
    </row>
    <row r="9" spans="1:9" x14ac:dyDescent="0.25">
      <c r="B9" s="73" t="s">
        <v>36</v>
      </c>
      <c r="C9" s="73"/>
      <c r="D9" s="73"/>
      <c r="E9" s="75" t="str">
        <f>PROJEKAT</f>
        <v>Zamena stolarije</v>
      </c>
      <c r="F9" s="75"/>
      <c r="G9" s="75"/>
      <c r="H9" s="75"/>
      <c r="I9" s="75"/>
    </row>
    <row r="10" spans="1:9" x14ac:dyDescent="0.25">
      <c r="B10" s="73" t="s">
        <v>148</v>
      </c>
      <c r="C10" s="73"/>
      <c r="D10" s="73"/>
      <c r="E10" s="87">
        <f>Investment</f>
        <v>26160</v>
      </c>
      <c r="F10" s="87"/>
      <c r="G10" s="87"/>
      <c r="H10" s="87"/>
      <c r="I10" s="87"/>
    </row>
    <row r="11" spans="1:9" x14ac:dyDescent="0.25">
      <c r="B11" s="73" t="s">
        <v>149</v>
      </c>
      <c r="C11" s="73"/>
      <c r="D11" s="73"/>
      <c r="E11" s="87">
        <f>Investment-EQUITY-LOAN</f>
        <v>10000</v>
      </c>
      <c r="F11" s="87"/>
      <c r="G11" s="87"/>
      <c r="H11" s="87"/>
      <c r="I11" s="87"/>
    </row>
    <row r="12" spans="1:9" x14ac:dyDescent="0.25">
      <c r="B12" s="73" t="s">
        <v>112</v>
      </c>
      <c r="C12" s="73"/>
      <c r="D12" s="73"/>
      <c r="E12" s="87">
        <f>EQUITY</f>
        <v>2000</v>
      </c>
      <c r="F12" s="87"/>
      <c r="G12" s="87"/>
      <c r="H12" s="87"/>
      <c r="I12" s="87"/>
    </row>
    <row r="13" spans="1:9" x14ac:dyDescent="0.25">
      <c r="B13" s="73" t="s">
        <v>111</v>
      </c>
      <c r="C13" s="73"/>
      <c r="D13" s="73"/>
      <c r="E13" s="87">
        <f>LOAN</f>
        <v>14160</v>
      </c>
      <c r="F13" s="87"/>
      <c r="G13" s="87"/>
      <c r="H13" s="87"/>
      <c r="I13" s="87"/>
    </row>
    <row r="14" spans="1:9" x14ac:dyDescent="0.25">
      <c r="B14" s="73" t="s">
        <v>150</v>
      </c>
      <c r="C14" s="73"/>
      <c r="D14" s="73"/>
      <c r="E14" s="87">
        <f>LCoEE</f>
        <v>24.66657383100398</v>
      </c>
      <c r="F14" s="87"/>
      <c r="G14" s="87"/>
      <c r="H14" s="87"/>
      <c r="I14" s="87"/>
    </row>
    <row r="15" spans="1:9" x14ac:dyDescent="0.25">
      <c r="B15" s="73" t="s">
        <v>151</v>
      </c>
      <c r="C15" s="73"/>
      <c r="D15" s="73"/>
      <c r="E15" s="87">
        <f>FNPV</f>
        <v>29877.653978120135</v>
      </c>
      <c r="F15" s="87"/>
      <c r="G15" s="87"/>
      <c r="H15" s="87"/>
      <c r="I15" s="87"/>
    </row>
    <row r="16" spans="1:9" x14ac:dyDescent="0.25">
      <c r="B16" s="73" t="s">
        <v>152</v>
      </c>
      <c r="C16" s="73"/>
      <c r="D16" s="73"/>
      <c r="E16" s="85">
        <f>FIRR</f>
        <v>0.19277737750678647</v>
      </c>
      <c r="F16" s="85"/>
      <c r="G16" s="85"/>
      <c r="H16" s="85"/>
      <c r="I16" s="85"/>
    </row>
    <row r="17" spans="2:9" x14ac:dyDescent="0.25">
      <c r="B17" s="86" t="s">
        <v>161</v>
      </c>
      <c r="C17" s="86"/>
      <c r="D17" s="86"/>
      <c r="E17" s="87">
        <f>+'FinInd+CO2'!E44</f>
        <v>63210.211799823352</v>
      </c>
      <c r="F17" s="87"/>
      <c r="G17" s="87"/>
      <c r="H17" s="87"/>
      <c r="I17" s="87"/>
    </row>
    <row r="18" spans="2:9" x14ac:dyDescent="0.25">
      <c r="B18" s="86" t="s">
        <v>162</v>
      </c>
      <c r="C18" s="86"/>
      <c r="D18" s="86"/>
      <c r="E18" s="85">
        <f>+'FinInd+CO2'!E45</f>
        <v>0.32206292959664484</v>
      </c>
      <c r="F18" s="75"/>
      <c r="G18" s="75"/>
      <c r="H18" s="75"/>
      <c r="I18" s="75"/>
    </row>
    <row r="20" spans="2:9" x14ac:dyDescent="0.25">
      <c r="B20" s="68" t="s">
        <v>139</v>
      </c>
      <c r="C20" s="68"/>
    </row>
    <row r="21" spans="2:9" x14ac:dyDescent="0.25">
      <c r="B21" s="68"/>
      <c r="C21" s="68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C18" sqref="C18"/>
    </sheetView>
  </sheetViews>
  <sheetFormatPr defaultRowHeight="15" x14ac:dyDescent="0.25"/>
  <cols>
    <col min="2" max="2" width="21.140625" customWidth="1"/>
  </cols>
  <sheetData>
    <row r="7" spans="2:3" ht="21" x14ac:dyDescent="0.35">
      <c r="B7" s="63" t="s">
        <v>211</v>
      </c>
    </row>
    <row r="8" spans="2:3" ht="18" x14ac:dyDescent="0.35">
      <c r="C8" s="56" t="s">
        <v>212</v>
      </c>
    </row>
    <row r="9" spans="2:3" x14ac:dyDescent="0.25">
      <c r="B9" t="s">
        <v>20</v>
      </c>
      <c r="C9" s="36">
        <v>0.4</v>
      </c>
    </row>
    <row r="10" spans="2:3" x14ac:dyDescent="0.25">
      <c r="B10" t="s">
        <v>19</v>
      </c>
      <c r="C10" s="36">
        <v>0.33</v>
      </c>
    </row>
    <row r="11" spans="2:3" x14ac:dyDescent="0.25">
      <c r="B11" t="s">
        <v>213</v>
      </c>
      <c r="C11" s="36">
        <v>0.34</v>
      </c>
    </row>
    <row r="12" spans="2:3" x14ac:dyDescent="0.25">
      <c r="B12" t="s">
        <v>214</v>
      </c>
      <c r="C12" s="36">
        <v>0.27</v>
      </c>
    </row>
    <row r="13" spans="2:3" x14ac:dyDescent="0.25">
      <c r="B13" t="s">
        <v>17</v>
      </c>
      <c r="C13" s="36">
        <v>0.28000000000000003</v>
      </c>
    </row>
    <row r="14" spans="2:3" x14ac:dyDescent="0.25">
      <c r="B14" t="s">
        <v>14</v>
      </c>
      <c r="C14" s="36">
        <v>0.2</v>
      </c>
    </row>
    <row r="15" spans="2:3" x14ac:dyDescent="0.25">
      <c r="B15" t="s">
        <v>215</v>
      </c>
      <c r="C15" s="36">
        <v>0.22</v>
      </c>
    </row>
    <row r="16" spans="2:3" x14ac:dyDescent="0.25">
      <c r="B16" t="s">
        <v>216</v>
      </c>
      <c r="C16" s="36">
        <v>0.49399999999999999</v>
      </c>
    </row>
    <row r="17" spans="2:3" x14ac:dyDescent="0.25">
      <c r="B17" t="s">
        <v>217</v>
      </c>
      <c r="C17" s="36">
        <v>4.9000000000000002E-2</v>
      </c>
    </row>
    <row r="18" spans="2:3" x14ac:dyDescent="0.25">
      <c r="B18" t="s">
        <v>218</v>
      </c>
      <c r="C18" s="36">
        <v>0.04</v>
      </c>
    </row>
    <row r="19" spans="2:3" x14ac:dyDescent="0.25">
      <c r="B19" t="s">
        <v>219</v>
      </c>
      <c r="C19" s="36">
        <v>0.28999999999999998</v>
      </c>
    </row>
    <row r="20" spans="2:3" x14ac:dyDescent="0.25">
      <c r="B20" t="s">
        <v>18</v>
      </c>
      <c r="C20" s="36">
        <v>0.8</v>
      </c>
    </row>
    <row r="21" spans="2:3" x14ac:dyDescent="0.25">
      <c r="B21" t="s">
        <v>220</v>
      </c>
      <c r="C21" s="36">
        <v>0</v>
      </c>
    </row>
    <row r="22" spans="2:3" x14ac:dyDescent="0.25">
      <c r="B22" t="s">
        <v>208</v>
      </c>
    </row>
    <row r="23" spans="2:3" x14ac:dyDescent="0.25">
      <c r="B23" t="s">
        <v>221</v>
      </c>
      <c r="C23" s="36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I22" sqref="I22"/>
    </sheetView>
  </sheetViews>
  <sheetFormatPr defaultRowHeight="15" x14ac:dyDescent="0.25"/>
  <cols>
    <col min="2" max="2" width="31" customWidth="1"/>
    <col min="3" max="3" width="13.7109375" customWidth="1"/>
    <col min="5" max="5" width="14.140625" customWidth="1"/>
  </cols>
  <sheetData>
    <row r="3" spans="2:7" ht="16.5" x14ac:dyDescent="0.35">
      <c r="D3" s="64" t="s">
        <v>159</v>
      </c>
      <c r="E3" s="64"/>
      <c r="F3" s="64"/>
      <c r="G3" s="64"/>
    </row>
    <row r="7" spans="2:7" ht="21" x14ac:dyDescent="0.35">
      <c r="B7" s="71" t="s">
        <v>201</v>
      </c>
      <c r="C7" s="71"/>
      <c r="D7" s="71"/>
      <c r="E7" s="71"/>
      <c r="F7" s="71"/>
      <c r="G7" s="71"/>
    </row>
    <row r="8" spans="2:7" x14ac:dyDescent="0.25">
      <c r="B8" s="56"/>
      <c r="C8" s="56"/>
      <c r="D8" s="56"/>
      <c r="E8" s="56"/>
      <c r="F8" s="56"/>
      <c r="G8" s="56"/>
    </row>
    <row r="9" spans="2:7" x14ac:dyDescent="0.25">
      <c r="B9" s="72" t="s">
        <v>202</v>
      </c>
      <c r="C9" s="72" t="s">
        <v>203</v>
      </c>
      <c r="D9" s="72" t="s">
        <v>204</v>
      </c>
      <c r="E9" s="72" t="s">
        <v>205</v>
      </c>
    </row>
    <row r="10" spans="2:7" x14ac:dyDescent="0.25">
      <c r="B10" s="72"/>
      <c r="C10" s="72"/>
      <c r="D10" s="72"/>
      <c r="E10" s="72"/>
    </row>
    <row r="11" spans="2:7" ht="18" x14ac:dyDescent="0.35">
      <c r="B11" s="24"/>
      <c r="C11" s="57" t="s">
        <v>29</v>
      </c>
      <c r="D11" s="57" t="s">
        <v>206</v>
      </c>
      <c r="E11" s="57" t="s">
        <v>207</v>
      </c>
    </row>
    <row r="12" spans="2:7" x14ac:dyDescent="0.25">
      <c r="B12" s="58" t="s">
        <v>217</v>
      </c>
      <c r="C12" s="59">
        <v>5000</v>
      </c>
      <c r="D12" s="60">
        <f>VLOOKUP(B12,Gorivo!$B$9:$C$23,2,FALSE)</f>
        <v>4.9000000000000002E-2</v>
      </c>
      <c r="E12" s="61">
        <f>IF(B12&lt;&gt;"Gorivo",C12*D12,"")</f>
        <v>245</v>
      </c>
    </row>
    <row r="13" spans="2:7" x14ac:dyDescent="0.25">
      <c r="B13" s="58" t="s">
        <v>17</v>
      </c>
      <c r="C13" s="59">
        <v>150000</v>
      </c>
      <c r="D13" s="60">
        <f>VLOOKUP(B13,Gorivo!$B$9:$C$23,2,FALSE)</f>
        <v>0.28000000000000003</v>
      </c>
      <c r="E13" s="61">
        <f t="shared" ref="E13:E17" si="0">IF(B13&lt;&gt;"Gorivo",C13*D13,"")</f>
        <v>42000.000000000007</v>
      </c>
    </row>
    <row r="14" spans="2:7" x14ac:dyDescent="0.25">
      <c r="B14" s="58" t="s">
        <v>208</v>
      </c>
      <c r="C14" s="59"/>
      <c r="D14" s="60">
        <f>VLOOKUP(B14,Gorivo!$B$9:$C$23,2,FALSE)</f>
        <v>0</v>
      </c>
      <c r="E14" s="61" t="str">
        <f t="shared" si="0"/>
        <v/>
      </c>
    </row>
    <row r="15" spans="2:7" x14ac:dyDescent="0.25">
      <c r="B15" s="58" t="s">
        <v>208</v>
      </c>
      <c r="C15" s="59"/>
      <c r="D15" s="60">
        <f>VLOOKUP(B15,Gorivo!$B$9:$C$23,2,FALSE)</f>
        <v>0</v>
      </c>
      <c r="E15" s="61" t="str">
        <f t="shared" si="0"/>
        <v/>
      </c>
    </row>
    <row r="16" spans="2:7" x14ac:dyDescent="0.25">
      <c r="B16" s="58" t="s">
        <v>208</v>
      </c>
      <c r="C16" s="59"/>
      <c r="D16" s="60">
        <f>VLOOKUP(B16,Gorivo!$B$9:$C$23,2,FALSE)</f>
        <v>0</v>
      </c>
      <c r="E16" s="61" t="str">
        <f t="shared" si="0"/>
        <v/>
      </c>
    </row>
    <row r="17" spans="2:5" x14ac:dyDescent="0.25">
      <c r="B17" s="58" t="s">
        <v>208</v>
      </c>
      <c r="C17" s="59"/>
      <c r="D17" s="60">
        <f>VLOOKUP(B17,Gorivo!$B$9:$C$23,2,FALSE)</f>
        <v>0</v>
      </c>
      <c r="E17" s="61" t="str">
        <f t="shared" si="0"/>
        <v/>
      </c>
    </row>
    <row r="18" spans="2:5" x14ac:dyDescent="0.25">
      <c r="B18" s="24" t="s">
        <v>69</v>
      </c>
      <c r="C18" s="61">
        <f>SUM(C12:C17)</f>
        <v>155000</v>
      </c>
      <c r="D18" s="60"/>
      <c r="E18" s="61">
        <f>SUM(E12:E17)</f>
        <v>42245.000000000007</v>
      </c>
    </row>
    <row r="20" spans="2:5" ht="18" x14ac:dyDescent="0.35">
      <c r="B20" s="70" t="s">
        <v>209</v>
      </c>
      <c r="C20" s="70"/>
      <c r="D20" s="70"/>
      <c r="E20" s="57" t="s">
        <v>210</v>
      </c>
    </row>
    <row r="21" spans="2:5" x14ac:dyDescent="0.25">
      <c r="B21" s="70"/>
      <c r="C21" s="70"/>
      <c r="D21" s="70"/>
      <c r="E21" s="62">
        <f>E18/C18</f>
        <v>0.27254838709677426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AJ40"/>
  <sheetViews>
    <sheetView topLeftCell="A7" workbookViewId="0">
      <selection activeCell="G36" sqref="G36"/>
    </sheetView>
  </sheetViews>
  <sheetFormatPr defaultRowHeight="15" x14ac:dyDescent="0.25"/>
  <cols>
    <col min="2" max="2" width="36.42578125" customWidth="1"/>
    <col min="7" max="7" width="10.28515625" customWidth="1"/>
    <col min="13" max="13" width="10.140625" customWidth="1"/>
    <col min="19" max="19" width="10.5703125" customWidth="1"/>
    <col min="23" max="23" width="10.140625" bestFit="1" customWidth="1"/>
    <col min="29" max="29" width="4.42578125" customWidth="1"/>
  </cols>
  <sheetData>
    <row r="3" spans="1:36" ht="16.5" x14ac:dyDescent="0.35">
      <c r="C3" s="64" t="s">
        <v>159</v>
      </c>
      <c r="D3" s="64"/>
      <c r="E3" s="64"/>
      <c r="F3" s="64"/>
    </row>
    <row r="7" spans="1:36" ht="15" customHeight="1" x14ac:dyDescent="0.25">
      <c r="A7" s="20" t="s">
        <v>36</v>
      </c>
      <c r="B7" t="s">
        <v>37</v>
      </c>
      <c r="E7">
        <v>1</v>
      </c>
      <c r="G7" s="24" t="s">
        <v>11</v>
      </c>
      <c r="H7" t="s">
        <v>54</v>
      </c>
      <c r="M7" s="24" t="s">
        <v>3</v>
      </c>
      <c r="N7" t="s">
        <v>4</v>
      </c>
      <c r="S7" s="73" t="s">
        <v>75</v>
      </c>
      <c r="T7" s="73"/>
      <c r="U7" s="73"/>
      <c r="W7" s="24" t="s">
        <v>23</v>
      </c>
      <c r="X7" s="24"/>
      <c r="Y7" s="24" t="s">
        <v>24</v>
      </c>
      <c r="Z7" s="24"/>
      <c r="AA7" s="24" t="s">
        <v>25</v>
      </c>
      <c r="AB7" s="24"/>
      <c r="AC7" s="24"/>
      <c r="AD7" s="67" t="s">
        <v>82</v>
      </c>
      <c r="AE7" s="67"/>
      <c r="AF7" s="67"/>
      <c r="AG7" s="67"/>
    </row>
    <row r="8" spans="1:36" x14ac:dyDescent="0.25">
      <c r="B8" t="s">
        <v>38</v>
      </c>
      <c r="E8">
        <v>2</v>
      </c>
      <c r="H8" t="s">
        <v>55</v>
      </c>
      <c r="N8" t="s">
        <v>5</v>
      </c>
      <c r="S8" t="s">
        <v>23</v>
      </c>
      <c r="T8" s="9" t="s">
        <v>79</v>
      </c>
      <c r="W8" s="4">
        <f>IF(VARIJANTA="A",Ustede!P9,"")</f>
        <v>7</v>
      </c>
      <c r="X8" s="35" t="s">
        <v>86</v>
      </c>
      <c r="Y8" s="4" t="str">
        <f>IF(VARIJANTA="B",Ustede!P9,"")</f>
        <v/>
      </c>
      <c r="Z8" s="35" t="s">
        <v>86</v>
      </c>
      <c r="AA8" s="4" t="str">
        <f>IF(VARIJANTA="C",Ustede!P9,"")</f>
        <v/>
      </c>
      <c r="AB8" s="35" t="s">
        <v>86</v>
      </c>
      <c r="AC8" s="33"/>
      <c r="AD8" t="s">
        <v>84</v>
      </c>
    </row>
    <row r="9" spans="1:36" ht="17.25" x14ac:dyDescent="0.25">
      <c r="B9" t="s">
        <v>39</v>
      </c>
      <c r="E9">
        <v>3</v>
      </c>
      <c r="H9" t="s">
        <v>138</v>
      </c>
      <c r="N9" t="s">
        <v>6</v>
      </c>
      <c r="S9" t="s">
        <v>24</v>
      </c>
      <c r="T9" s="9" t="s">
        <v>80</v>
      </c>
      <c r="W9" s="36">
        <f>IF(VARIJANTA="A",Ustede!P10,"")</f>
        <v>32</v>
      </c>
      <c r="X9" s="34" t="s">
        <v>87</v>
      </c>
      <c r="Y9" s="36" t="str">
        <f>IF(VARIJANTA="B",Ustede!P10,"")</f>
        <v/>
      </c>
      <c r="Z9" s="35" t="s">
        <v>88</v>
      </c>
      <c r="AA9" t="str">
        <f>IF(VARIJANTA="C","","")</f>
        <v/>
      </c>
      <c r="AB9" s="34" t="s">
        <v>89</v>
      </c>
      <c r="AC9" s="33"/>
      <c r="AD9" t="s">
        <v>83</v>
      </c>
    </row>
    <row r="10" spans="1:36" ht="17.25" x14ac:dyDescent="0.25">
      <c r="B10" t="s">
        <v>40</v>
      </c>
      <c r="E10">
        <v>4</v>
      </c>
      <c r="H10" t="s">
        <v>39</v>
      </c>
      <c r="N10" t="s">
        <v>7</v>
      </c>
      <c r="S10" t="s">
        <v>25</v>
      </c>
      <c r="T10" s="9" t="s">
        <v>81</v>
      </c>
      <c r="W10" s="16">
        <f>IF(VARIJANTA="A",Ustede!P11,"")</f>
        <v>2387</v>
      </c>
      <c r="X10" s="34" t="s">
        <v>90</v>
      </c>
      <c r="Y10" t="str">
        <f>IF(VARIJANTA="B",Ustede!P11,"")</f>
        <v/>
      </c>
      <c r="Z10" s="34" t="s">
        <v>90</v>
      </c>
      <c r="AA10" t="str">
        <f>IF(VARIJANTA="C",Ustede!P11,"")</f>
        <v/>
      </c>
      <c r="AB10" s="34" t="s">
        <v>90</v>
      </c>
      <c r="AC10" s="33"/>
      <c r="AD10" t="s">
        <v>85</v>
      </c>
    </row>
    <row r="11" spans="1:36" ht="17.25" x14ac:dyDescent="0.25">
      <c r="B11" t="s">
        <v>41</v>
      </c>
      <c r="E11">
        <v>5</v>
      </c>
      <c r="N11" t="s">
        <v>8</v>
      </c>
      <c r="W11">
        <f>IF(VARIJANTA="A",Ustede!P12,"")</f>
        <v>140.24</v>
      </c>
      <c r="X11" s="34" t="s">
        <v>28</v>
      </c>
      <c r="Y11" t="str">
        <f>IF(VARIJANTA="B",Ustede!P12,"")</f>
        <v/>
      </c>
      <c r="Z11" s="34" t="s">
        <v>28</v>
      </c>
      <c r="AA11" t="str">
        <f>IF(VARIJANTA="C",Ustede!P12,"")</f>
        <v/>
      </c>
      <c r="AB11" s="34" t="s">
        <v>28</v>
      </c>
      <c r="AC11" s="33"/>
      <c r="AD11" t="s">
        <v>92</v>
      </c>
      <c r="AH11" s="6" t="s">
        <v>97</v>
      </c>
      <c r="AI11" s="6"/>
      <c r="AJ11" s="6"/>
    </row>
    <row r="12" spans="1:36" ht="17.25" x14ac:dyDescent="0.25">
      <c r="B12" t="s">
        <v>42</v>
      </c>
      <c r="E12">
        <v>6</v>
      </c>
      <c r="N12" t="s">
        <v>9</v>
      </c>
      <c r="W12">
        <f>IF(VARIJANTA="A",Ustede!P13,"")</f>
        <v>64.760000000000005</v>
      </c>
      <c r="X12" s="34" t="s">
        <v>28</v>
      </c>
      <c r="Y12" t="str">
        <f>IF(VARIJANTA="B",Ustede!P13,"")</f>
        <v/>
      </c>
      <c r="Z12" s="34" t="s">
        <v>28</v>
      </c>
      <c r="AA12" t="str">
        <f>IF(VARIJANTA="C",Ustede!P13,"")</f>
        <v/>
      </c>
      <c r="AB12" s="34" t="s">
        <v>28</v>
      </c>
      <c r="AC12" s="33"/>
      <c r="AD12" t="s">
        <v>91</v>
      </c>
      <c r="AH12" s="6" t="s">
        <v>97</v>
      </c>
      <c r="AI12" s="6"/>
      <c r="AJ12" s="6"/>
    </row>
    <row r="13" spans="1:36" ht="17.25" x14ac:dyDescent="0.25">
      <c r="B13" t="s">
        <v>43</v>
      </c>
      <c r="E13">
        <v>7</v>
      </c>
      <c r="W13">
        <f>IF(VARIJANTA="A",Ustede!P14,"")</f>
        <v>20</v>
      </c>
      <c r="X13" s="34" t="s">
        <v>101</v>
      </c>
      <c r="Y13" t="str">
        <f>IF(VARIJANTA="B",Ustede!P14,"")</f>
        <v/>
      </c>
      <c r="Z13" s="34" t="s">
        <v>101</v>
      </c>
      <c r="AA13" t="str">
        <f>IF(VARIJANTA="C",Ustede!P14,"")</f>
        <v/>
      </c>
      <c r="AB13" s="34" t="s">
        <v>101</v>
      </c>
      <c r="AC13" s="33"/>
      <c r="AD13" t="s">
        <v>93</v>
      </c>
      <c r="AH13" s="6" t="s">
        <v>98</v>
      </c>
      <c r="AI13" s="6"/>
      <c r="AJ13" s="6"/>
    </row>
    <row r="14" spans="1:36" ht="17.25" x14ac:dyDescent="0.25">
      <c r="B14" t="s">
        <v>44</v>
      </c>
      <c r="E14">
        <v>8</v>
      </c>
      <c r="W14">
        <f>IF(VARIJANTA="A",Ustede!P15,"")</f>
        <v>20</v>
      </c>
      <c r="X14" s="34" t="s">
        <v>101</v>
      </c>
      <c r="Y14" t="str">
        <f>IF(VARIJANTA="B",Ustede!P15,"")</f>
        <v/>
      </c>
      <c r="Z14" s="34" t="s">
        <v>101</v>
      </c>
      <c r="AA14" t="str">
        <f>IF(VARIJANTA="C",Ustede!P15,"")</f>
        <v/>
      </c>
      <c r="AB14" s="34" t="s">
        <v>101</v>
      </c>
      <c r="AC14" s="33"/>
      <c r="AD14" t="s">
        <v>94</v>
      </c>
      <c r="AH14" s="6" t="s">
        <v>99</v>
      </c>
      <c r="AI14" s="6"/>
      <c r="AJ14" s="6"/>
    </row>
    <row r="15" spans="1:36" ht="17.25" x14ac:dyDescent="0.25">
      <c r="B15" t="s">
        <v>45</v>
      </c>
      <c r="E15">
        <v>9</v>
      </c>
      <c r="G15" s="15"/>
      <c r="M15" s="24" t="s">
        <v>10</v>
      </c>
      <c r="N15" t="s">
        <v>56</v>
      </c>
      <c r="W15">
        <f>IF(VARIJANTA="A",Ustede!P16,"")</f>
        <v>20</v>
      </c>
      <c r="X15" s="34" t="s">
        <v>101</v>
      </c>
      <c r="Y15" t="str">
        <f>IF(VARIJANTA="B",Ustede!P16,"")</f>
        <v/>
      </c>
      <c r="Z15" s="34" t="s">
        <v>101</v>
      </c>
      <c r="AA15" t="str">
        <f>IF(VARIJANTA="C",Ustede!P16,"")</f>
        <v/>
      </c>
      <c r="AB15" s="34" t="s">
        <v>101</v>
      </c>
      <c r="AC15" s="33"/>
      <c r="AD15" t="s">
        <v>95</v>
      </c>
      <c r="AH15" s="6" t="s">
        <v>100</v>
      </c>
      <c r="AI15" s="6"/>
      <c r="AJ15" s="6"/>
    </row>
    <row r="16" spans="1:36" ht="17.25" x14ac:dyDescent="0.25">
      <c r="B16" t="s">
        <v>46</v>
      </c>
      <c r="E16">
        <v>10</v>
      </c>
      <c r="G16" s="15"/>
      <c r="N16" t="s">
        <v>57</v>
      </c>
      <c r="W16">
        <f>IF(VARIJANTA="A",Ustede!P17,"")</f>
        <v>-12</v>
      </c>
      <c r="X16" s="34" t="s">
        <v>101</v>
      </c>
      <c r="Y16" t="str">
        <f>IF(VARIJANTA="B",Ustede!P17,"")</f>
        <v/>
      </c>
      <c r="Z16" s="34" t="s">
        <v>101</v>
      </c>
      <c r="AA16" t="str">
        <f>IF(VARIJANTA="C",Ustede!P17,"")</f>
        <v/>
      </c>
      <c r="AB16" s="34" t="s">
        <v>101</v>
      </c>
      <c r="AC16" s="33"/>
      <c r="AD16" t="s">
        <v>96</v>
      </c>
      <c r="AH16" s="6" t="s">
        <v>100</v>
      </c>
      <c r="AI16" s="6"/>
      <c r="AJ16" s="6"/>
    </row>
    <row r="17" spans="2:30" ht="17.25" x14ac:dyDescent="0.25">
      <c r="B17" t="s">
        <v>47</v>
      </c>
      <c r="E17">
        <v>11</v>
      </c>
      <c r="N17" t="s">
        <v>58</v>
      </c>
      <c r="W17" s="31">
        <f>W11-W12</f>
        <v>75.48</v>
      </c>
      <c r="X17" s="34" t="s">
        <v>28</v>
      </c>
      <c r="Y17" s="31" t="e">
        <f>Y11-Y12</f>
        <v>#VALUE!</v>
      </c>
      <c r="Z17" s="34" t="s">
        <v>28</v>
      </c>
      <c r="AA17" s="31" t="e">
        <f>AA11-AA12</f>
        <v>#VALUE!</v>
      </c>
      <c r="AB17" s="34" t="s">
        <v>28</v>
      </c>
      <c r="AC17" s="33"/>
      <c r="AD17" t="s">
        <v>102</v>
      </c>
    </row>
    <row r="18" spans="2:30" x14ac:dyDescent="0.25">
      <c r="B18" t="s">
        <v>48</v>
      </c>
      <c r="E18">
        <v>12</v>
      </c>
      <c r="N18" t="s">
        <v>59</v>
      </c>
      <c r="W18" s="37">
        <f>W10*W17/1000</f>
        <v>180.17076</v>
      </c>
      <c r="X18" s="34" t="s">
        <v>29</v>
      </c>
      <c r="Y18" s="37" t="e">
        <f>Y10*Y17/1000</f>
        <v>#VALUE!</v>
      </c>
      <c r="Z18" s="34" t="s">
        <v>29</v>
      </c>
      <c r="AA18" s="37" t="e">
        <f>AA10*AA17/1000</f>
        <v>#VALUE!</v>
      </c>
      <c r="AB18" s="34" t="s">
        <v>29</v>
      </c>
      <c r="AC18" s="33"/>
      <c r="AD18" t="s">
        <v>102</v>
      </c>
    </row>
    <row r="19" spans="2:30" ht="18" x14ac:dyDescent="0.35">
      <c r="B19" t="s">
        <v>49</v>
      </c>
      <c r="E19">
        <v>13</v>
      </c>
      <c r="N19" t="s">
        <v>60</v>
      </c>
      <c r="W19" s="37">
        <f>W8*W18*1000/Kurs_EUR</f>
        <v>10752.978309801516</v>
      </c>
      <c r="X19" s="34" t="s">
        <v>30</v>
      </c>
      <c r="Y19" s="37" t="e">
        <f>(Y8*Y18*1000+Y9*12*Y18*1000/IF(Ustede!R18=TRUE,1100,1700))/Kurs_EUR</f>
        <v>#VALUE!</v>
      </c>
      <c r="Z19" s="34" t="s">
        <v>30</v>
      </c>
      <c r="AA19" s="37" t="e">
        <f>AA8*AA18*1000/Kurs_EUR</f>
        <v>#VALUE!</v>
      </c>
      <c r="AB19" s="34" t="s">
        <v>30</v>
      </c>
      <c r="AC19" s="33"/>
      <c r="AD19" t="s">
        <v>103</v>
      </c>
    </row>
    <row r="20" spans="2:30" x14ac:dyDescent="0.25">
      <c r="B20" t="s">
        <v>50</v>
      </c>
      <c r="E20">
        <v>14</v>
      </c>
    </row>
    <row r="21" spans="2:30" ht="18" x14ac:dyDescent="0.35">
      <c r="B21" t="s">
        <v>51</v>
      </c>
      <c r="E21">
        <v>15</v>
      </c>
      <c r="H21" s="73" t="s">
        <v>154</v>
      </c>
      <c r="I21" s="73"/>
      <c r="J21" s="73"/>
      <c r="M21" s="24" t="s">
        <v>12</v>
      </c>
      <c r="N21" t="s">
        <v>61</v>
      </c>
    </row>
    <row r="22" spans="2:30" x14ac:dyDescent="0.25">
      <c r="B22" t="s">
        <v>52</v>
      </c>
      <c r="E22">
        <v>16</v>
      </c>
      <c r="I22" t="s">
        <v>155</v>
      </c>
      <c r="K22" s="4">
        <f>+UnosPodataka!F18</f>
        <v>10000</v>
      </c>
      <c r="L22" s="23">
        <v>0</v>
      </c>
      <c r="N22" t="s">
        <v>62</v>
      </c>
    </row>
    <row r="23" spans="2:30" x14ac:dyDescent="0.25">
      <c r="B23" t="s">
        <v>53</v>
      </c>
      <c r="E23">
        <v>17</v>
      </c>
      <c r="I23" t="s">
        <v>156</v>
      </c>
      <c r="K23" s="4">
        <f>+LOAN</f>
        <v>14160</v>
      </c>
      <c r="L23" s="23">
        <f>+UnosPodataka!M16</f>
        <v>0.12</v>
      </c>
      <c r="N23" t="s">
        <v>63</v>
      </c>
    </row>
    <row r="24" spans="2:30" x14ac:dyDescent="0.25">
      <c r="B24" t="s">
        <v>12</v>
      </c>
      <c r="I24" t="s">
        <v>157</v>
      </c>
      <c r="K24" s="4">
        <f>+EQUITY</f>
        <v>2000</v>
      </c>
      <c r="L24" s="10">
        <f>+UnosPodataka!M17</f>
        <v>5.8299999999999998E-2</v>
      </c>
      <c r="N24" t="s">
        <v>64</v>
      </c>
    </row>
    <row r="25" spans="2:30" x14ac:dyDescent="0.25">
      <c r="B25" s="19">
        <f>VLOOKUP(Pocetna!M12,B7:E23,4,FALSE)</f>
        <v>3</v>
      </c>
      <c r="J25" t="s">
        <v>158</v>
      </c>
      <c r="K25" s="4">
        <f>SUM(K22:K24)</f>
        <v>26160</v>
      </c>
      <c r="L25" s="10">
        <f>+(K22*L22+K23*L23+K24*L24)/K25</f>
        <v>6.9411314984709482E-2</v>
      </c>
      <c r="N25" t="s">
        <v>65</v>
      </c>
    </row>
    <row r="26" spans="2:30" x14ac:dyDescent="0.25">
      <c r="B26" s="14"/>
      <c r="N26" t="s">
        <v>153</v>
      </c>
    </row>
    <row r="27" spans="2:30" x14ac:dyDescent="0.25">
      <c r="N27" t="s">
        <v>66</v>
      </c>
    </row>
    <row r="28" spans="2:30" x14ac:dyDescent="0.25">
      <c r="B28" s="29"/>
      <c r="M28" s="24" t="s">
        <v>13</v>
      </c>
    </row>
    <row r="29" spans="2:30" x14ac:dyDescent="0.25">
      <c r="N29" t="s">
        <v>14</v>
      </c>
      <c r="P29" s="4">
        <v>0.2</v>
      </c>
    </row>
    <row r="30" spans="2:30" x14ac:dyDescent="0.25">
      <c r="N30" t="s">
        <v>15</v>
      </c>
      <c r="P30" s="4">
        <v>0.22</v>
      </c>
    </row>
    <row r="31" spans="2:30" x14ac:dyDescent="0.25">
      <c r="N31" t="s">
        <v>16</v>
      </c>
      <c r="P31" s="4">
        <v>0.27</v>
      </c>
    </row>
    <row r="32" spans="2:30" x14ac:dyDescent="0.25">
      <c r="N32" t="s">
        <v>17</v>
      </c>
      <c r="P32" s="4">
        <v>0.28000000000000003</v>
      </c>
    </row>
    <row r="33" spans="14:16" x14ac:dyDescent="0.25">
      <c r="N33" t="s">
        <v>18</v>
      </c>
      <c r="P33" s="4">
        <v>0.8</v>
      </c>
    </row>
    <row r="34" spans="14:16" x14ac:dyDescent="0.25">
      <c r="N34" t="s">
        <v>222</v>
      </c>
      <c r="P34" s="4">
        <v>0.49399999999999999</v>
      </c>
    </row>
    <row r="35" spans="14:16" x14ac:dyDescent="0.25">
      <c r="N35" t="s">
        <v>217</v>
      </c>
      <c r="P35" s="4">
        <v>4.9000000000000002E-2</v>
      </c>
    </row>
    <row r="36" spans="14:16" x14ac:dyDescent="0.25">
      <c r="N36" t="s">
        <v>163</v>
      </c>
      <c r="P36" s="4">
        <v>0.22</v>
      </c>
    </row>
    <row r="37" spans="14:16" x14ac:dyDescent="0.25">
      <c r="N37" t="s">
        <v>19</v>
      </c>
      <c r="P37" s="4">
        <v>0.4</v>
      </c>
    </row>
    <row r="38" spans="14:16" x14ac:dyDescent="0.25">
      <c r="N38" t="s">
        <v>20</v>
      </c>
      <c r="P38" s="4">
        <v>0.33</v>
      </c>
    </row>
    <row r="39" spans="14:16" x14ac:dyDescent="0.25">
      <c r="N39" t="s">
        <v>21</v>
      </c>
      <c r="P39" s="4">
        <v>0</v>
      </c>
    </row>
    <row r="40" spans="14:16" x14ac:dyDescent="0.25">
      <c r="N40" t="s">
        <v>141</v>
      </c>
      <c r="P40" s="36">
        <f>KonvFaktor!E21</f>
        <v>0.27254838709677426</v>
      </c>
    </row>
  </sheetData>
  <sheetProtection selectLockedCells="1"/>
  <mergeCells count="4">
    <mergeCell ref="S7:U7"/>
    <mergeCell ref="AD7:AG7"/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1"/>
  <sheetViews>
    <sheetView workbookViewId="0">
      <selection activeCell="S22" sqref="S22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64" t="s">
        <v>159</v>
      </c>
      <c r="G3" s="64"/>
      <c r="H3" s="64"/>
      <c r="I3" s="64"/>
    </row>
    <row r="7" spans="2:16" x14ac:dyDescent="0.25">
      <c r="B7" s="77" t="s">
        <v>67</v>
      </c>
      <c r="C7" s="77"/>
      <c r="D7" s="77"/>
      <c r="E7" s="77"/>
      <c r="F7" s="2" t="s">
        <v>1</v>
      </c>
      <c r="I7" s="76" t="s">
        <v>67</v>
      </c>
      <c r="J7" s="76"/>
      <c r="K7" s="76"/>
      <c r="L7" s="76"/>
      <c r="M7" s="3" t="s">
        <v>22</v>
      </c>
    </row>
    <row r="8" spans="2:16" x14ac:dyDescent="0.25">
      <c r="O8" s="68" t="s">
        <v>139</v>
      </c>
      <c r="P8" s="68"/>
    </row>
    <row r="9" spans="2:16" x14ac:dyDescent="0.25">
      <c r="B9" s="74" t="s">
        <v>54</v>
      </c>
      <c r="C9" s="74"/>
      <c r="D9" s="74"/>
      <c r="E9" s="74"/>
      <c r="F9" s="11">
        <v>1000</v>
      </c>
      <c r="I9" s="74" t="s">
        <v>56</v>
      </c>
      <c r="J9" s="74"/>
      <c r="K9" s="74"/>
      <c r="L9" s="74"/>
      <c r="M9" s="11">
        <v>100</v>
      </c>
      <c r="O9" s="68"/>
      <c r="P9" s="68"/>
    </row>
    <row r="10" spans="2:16" x14ac:dyDescent="0.25">
      <c r="B10" s="74" t="s">
        <v>55</v>
      </c>
      <c r="C10" s="74"/>
      <c r="D10" s="74"/>
      <c r="E10" s="74"/>
      <c r="F10" s="11">
        <v>1000</v>
      </c>
      <c r="I10" s="74" t="s">
        <v>57</v>
      </c>
      <c r="J10" s="74"/>
      <c r="K10" s="74"/>
      <c r="L10" s="74"/>
      <c r="M10" s="26">
        <v>0.9</v>
      </c>
    </row>
    <row r="11" spans="2:16" x14ac:dyDescent="0.25">
      <c r="B11" s="74" t="s">
        <v>138</v>
      </c>
      <c r="C11" s="74"/>
      <c r="D11" s="74"/>
      <c r="E11" s="74"/>
      <c r="F11" s="11">
        <v>20160</v>
      </c>
      <c r="I11" s="74" t="s">
        <v>58</v>
      </c>
      <c r="J11" s="74"/>
      <c r="K11" s="74"/>
      <c r="L11" s="74"/>
      <c r="M11" s="10">
        <v>0</v>
      </c>
      <c r="O11" s="69" t="s">
        <v>140</v>
      </c>
      <c r="P11" s="69"/>
    </row>
    <row r="12" spans="2:16" x14ac:dyDescent="0.25">
      <c r="B12" s="74" t="s">
        <v>39</v>
      </c>
      <c r="C12" s="74"/>
      <c r="D12" s="74"/>
      <c r="E12" s="74"/>
      <c r="F12" s="11">
        <v>4000</v>
      </c>
      <c r="I12" s="74" t="s">
        <v>59</v>
      </c>
      <c r="J12" s="74"/>
      <c r="K12" s="74"/>
      <c r="L12" s="74"/>
      <c r="M12" s="26">
        <v>2.5000000000000001E-2</v>
      </c>
      <c r="O12" s="69"/>
      <c r="P12" s="69"/>
    </row>
    <row r="13" spans="2:16" x14ac:dyDescent="0.25">
      <c r="B13" s="74"/>
      <c r="C13" s="74"/>
      <c r="D13" s="74"/>
      <c r="E13" s="74"/>
      <c r="F13" s="4"/>
      <c r="I13" s="74" t="s">
        <v>71</v>
      </c>
      <c r="J13" s="74"/>
      <c r="K13" s="74"/>
      <c r="L13" s="74"/>
      <c r="M13" s="27">
        <v>97.44</v>
      </c>
    </row>
    <row r="14" spans="2:16" x14ac:dyDescent="0.25">
      <c r="B14" s="74"/>
      <c r="C14" s="74"/>
      <c r="D14" s="74"/>
      <c r="E14" s="74"/>
      <c r="F14" s="4"/>
      <c r="I14" s="75"/>
      <c r="J14" s="75"/>
      <c r="K14" s="75"/>
      <c r="L14" s="75"/>
      <c r="M14" s="10"/>
    </row>
    <row r="15" spans="2:16" x14ac:dyDescent="0.25">
      <c r="B15" s="74"/>
      <c r="C15" s="74"/>
      <c r="D15" s="74"/>
      <c r="E15" s="74"/>
      <c r="F15" s="4"/>
      <c r="I15" s="74" t="s">
        <v>64</v>
      </c>
      <c r="J15" s="74"/>
      <c r="K15" s="74"/>
      <c r="L15" s="74"/>
      <c r="M15" s="26">
        <v>0.06</v>
      </c>
    </row>
    <row r="16" spans="2:16" x14ac:dyDescent="0.25">
      <c r="B16" s="12"/>
      <c r="C16" s="12"/>
      <c r="D16" s="12"/>
      <c r="E16" s="25" t="s">
        <v>68</v>
      </c>
      <c r="F16" s="4">
        <f>SUM(F9:F15)</f>
        <v>26160</v>
      </c>
      <c r="I16" s="74" t="s">
        <v>65</v>
      </c>
      <c r="J16" s="74"/>
      <c r="K16" s="74"/>
      <c r="L16" s="74"/>
      <c r="M16" s="10">
        <v>0.12</v>
      </c>
    </row>
    <row r="17" spans="2:14" x14ac:dyDescent="0.25">
      <c r="I17" s="74" t="s">
        <v>153</v>
      </c>
      <c r="J17" s="74"/>
      <c r="K17" s="74"/>
      <c r="L17" s="74"/>
      <c r="M17" s="10">
        <v>5.8299999999999998E-2</v>
      </c>
    </row>
    <row r="18" spans="2:14" x14ac:dyDescent="0.25">
      <c r="B18" s="74" t="s">
        <v>6</v>
      </c>
      <c r="C18" s="74"/>
      <c r="D18" s="74"/>
      <c r="E18" s="74"/>
      <c r="F18" s="11">
        <v>10000</v>
      </c>
      <c r="I18" s="74" t="s">
        <v>62</v>
      </c>
      <c r="J18" s="74"/>
      <c r="K18" s="74"/>
      <c r="L18" s="74"/>
      <c r="M18" s="28">
        <v>12</v>
      </c>
    </row>
    <row r="19" spans="2:14" x14ac:dyDescent="0.25">
      <c r="B19" s="74"/>
      <c r="C19" s="74"/>
      <c r="D19" s="74"/>
      <c r="E19" s="74"/>
      <c r="F19" s="11"/>
      <c r="I19" s="74" t="s">
        <v>66</v>
      </c>
      <c r="J19" s="74"/>
      <c r="K19" s="74"/>
      <c r="L19" s="74"/>
      <c r="M19" s="11" t="s">
        <v>141</v>
      </c>
    </row>
    <row r="20" spans="2:14" x14ac:dyDescent="0.25">
      <c r="B20" s="74"/>
      <c r="C20" s="74"/>
      <c r="D20" s="74"/>
      <c r="E20" s="74"/>
      <c r="F20" s="11"/>
      <c r="I20" s="74" t="s">
        <v>72</v>
      </c>
      <c r="J20" s="74"/>
      <c r="K20" s="74"/>
      <c r="L20" s="74"/>
      <c r="M20" s="4">
        <f>VLOOKUP(M19,PomTab1!N29:P40,3,FALSE)</f>
        <v>0.27254838709677426</v>
      </c>
    </row>
    <row r="21" spans="2:14" x14ac:dyDescent="0.25">
      <c r="B21" s="74"/>
      <c r="C21" s="74"/>
      <c r="D21" s="74"/>
      <c r="E21" s="74"/>
      <c r="F21" s="11"/>
      <c r="I21" s="74" t="s">
        <v>63</v>
      </c>
      <c r="J21" s="74"/>
      <c r="K21" s="74"/>
      <c r="L21" s="74"/>
      <c r="M21" s="13">
        <v>20</v>
      </c>
    </row>
    <row r="22" spans="2:14" x14ac:dyDescent="0.25">
      <c r="B22" s="74"/>
      <c r="C22" s="74"/>
      <c r="D22" s="74"/>
      <c r="E22" s="74"/>
      <c r="F22" s="4"/>
      <c r="N22" s="35"/>
    </row>
    <row r="23" spans="2:14" x14ac:dyDescent="0.25">
      <c r="B23" s="74" t="s">
        <v>9</v>
      </c>
      <c r="C23" s="74"/>
      <c r="D23" s="74"/>
      <c r="E23" s="74"/>
      <c r="F23" s="11">
        <v>2000</v>
      </c>
      <c r="M23" s="16"/>
      <c r="N23" s="35"/>
    </row>
    <row r="24" spans="2:14" x14ac:dyDescent="0.25">
      <c r="E24" s="7" t="s">
        <v>69</v>
      </c>
      <c r="F24" s="4">
        <f>IF(SUM(F18:F23)&gt;F16,FALSE,SUM(F18:F23))</f>
        <v>12000</v>
      </c>
      <c r="M24" s="4"/>
      <c r="N24" s="34"/>
    </row>
    <row r="25" spans="2:14" x14ac:dyDescent="0.25">
      <c r="F25" s="4"/>
      <c r="M25" s="16"/>
      <c r="N25" s="34"/>
    </row>
    <row r="26" spans="2:14" x14ac:dyDescent="0.25">
      <c r="E26" s="6" t="s">
        <v>70</v>
      </c>
      <c r="F26" s="4">
        <f>F16-F24</f>
        <v>14160</v>
      </c>
      <c r="N26" s="34"/>
    </row>
    <row r="27" spans="2:14" x14ac:dyDescent="0.25">
      <c r="N27" s="34"/>
    </row>
    <row r="28" spans="2:14" x14ac:dyDescent="0.25">
      <c r="H28" s="53"/>
      <c r="N28" s="34"/>
    </row>
    <row r="29" spans="2:14" x14ac:dyDescent="0.25">
      <c r="N29" s="34"/>
    </row>
    <row r="30" spans="2:14" x14ac:dyDescent="0.25">
      <c r="N30" s="34"/>
    </row>
    <row r="31" spans="2:14" x14ac:dyDescent="0.25">
      <c r="N31" s="34"/>
    </row>
  </sheetData>
  <sheetProtection selectLockedCells="1"/>
  <mergeCells count="31">
    <mergeCell ref="F3:I3"/>
    <mergeCell ref="B22:E22"/>
    <mergeCell ref="B23:E23"/>
    <mergeCell ref="I7:L7"/>
    <mergeCell ref="B18:E18"/>
    <mergeCell ref="B19:E19"/>
    <mergeCell ref="B20:E20"/>
    <mergeCell ref="B21:E21"/>
    <mergeCell ref="B12:E12"/>
    <mergeCell ref="B13:E13"/>
    <mergeCell ref="B14:E14"/>
    <mergeCell ref="B15:E15"/>
    <mergeCell ref="B7:E7"/>
    <mergeCell ref="B9:E9"/>
    <mergeCell ref="B10:E10"/>
    <mergeCell ref="B11:E11"/>
    <mergeCell ref="I20:L20"/>
    <mergeCell ref="I21:L21"/>
    <mergeCell ref="I10:L10"/>
    <mergeCell ref="I11:L11"/>
    <mergeCell ref="I12:L12"/>
    <mergeCell ref="I13:L13"/>
    <mergeCell ref="I15:L15"/>
    <mergeCell ref="I14:L14"/>
    <mergeCell ref="O8:P9"/>
    <mergeCell ref="O11:P12"/>
    <mergeCell ref="I16:L16"/>
    <mergeCell ref="I18:L18"/>
    <mergeCell ref="I19:L19"/>
    <mergeCell ref="I17:L17"/>
    <mergeCell ref="I9:L9"/>
  </mergeCells>
  <dataValidations count="18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300.000 EUR" promptTitle="WRepl" prompt="Uneti troškove zamene stolarije" sqref="F12">
      <formula1>0</formula1>
      <formula2>300000</formula2>
    </dataValidation>
    <dataValidation type="whole" allowBlank="1" showInputMessage="1" showErrorMessage="1" errorTitle="Restriction" error="Ne može biti više od 100.000 EUR" sqref="F14:F15">
      <formula1>0</formula1>
      <formula2>100000</formula2>
    </dataValidation>
    <dataValidation type="whole" allowBlank="1" showInputMessage="1" showErrorMessage="1" errorTitle="Restriction" error="Ne mođe biti više od 100.000 EUR" sqref="F13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18:F22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18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za ostalo" sqref="M21">
      <formula1>0</formula1>
      <formula2>20</formula2>
    </dataValidation>
    <dataValidation type="whole" allowBlank="1" showInputMessage="1" showErrorMessage="1" errorTitle="Restriction" error="Maksimalni iznos do 100.000 EUR" promptTitle="EQUITY" prompt="Učešće sopstvenog kapitala u finansiranju mere" sqref="F23">
      <formula1>0</formula1>
      <formula2>100000</formula2>
    </dataValidation>
    <dataValidation type="whole" allowBlank="1" showInputMessage="1" showErrorMessage="1" errorTitle="Restriction" error="Ne može biti više od 300.000 EUR" promptTitle="WPro" prompt="Uneti investiconu vrednost nabavke stolarije" sqref="F11">
      <formula1>0</formula1>
      <formula2>300000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17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6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5">
      <formula1>0</formula1>
      <formula2>0.1</formula2>
    </dataValidation>
  </dataValidations>
  <hyperlinks>
    <hyperlink ref="O8:P9" location="Pocetna!M9" display="NAZAD"/>
    <hyperlink ref="O11:P12" location="Usted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PomTab1!$H$7:$H$14</xm:f>
          </x14:formula1>
          <xm:sqref>B9:E15</xm:sqref>
        </x14:dataValidation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B18:E23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I13:L13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I16:I17 J16:L16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I15:L15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I19:L20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PomTab1!$N$29:$N$40</xm:f>
          </x14:formula1>
          <xm:sqref>M19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3:U18"/>
  <sheetViews>
    <sheetView workbookViewId="0">
      <selection activeCell="P11" sqref="P11"/>
    </sheetView>
  </sheetViews>
  <sheetFormatPr defaultRowHeight="15" x14ac:dyDescent="0.25"/>
  <cols>
    <col min="10" max="10" width="14" customWidth="1"/>
    <col min="18" max="18" width="0" hidden="1" customWidth="1"/>
  </cols>
  <sheetData>
    <row r="3" spans="2:21" ht="16.5" x14ac:dyDescent="0.35">
      <c r="F3" s="64" t="s">
        <v>159</v>
      </c>
      <c r="G3" s="64"/>
      <c r="H3" s="64"/>
      <c r="I3" s="64"/>
    </row>
    <row r="7" spans="2:21" ht="21" x14ac:dyDescent="0.35">
      <c r="B7" s="71" t="s">
        <v>73</v>
      </c>
      <c r="C7" s="71"/>
      <c r="D7" s="71"/>
      <c r="E7" s="71"/>
      <c r="F7" s="71"/>
      <c r="G7" s="71"/>
    </row>
    <row r="9" spans="2:21" ht="17.25" x14ac:dyDescent="0.25">
      <c r="B9" s="78" t="s">
        <v>74</v>
      </c>
      <c r="C9" s="78"/>
      <c r="D9" s="78"/>
      <c r="E9" s="78"/>
      <c r="G9" s="1" t="s">
        <v>26</v>
      </c>
      <c r="H9" s="1"/>
      <c r="I9" s="5" t="s">
        <v>28</v>
      </c>
      <c r="J9" s="17">
        <f>IF(VARIJANTA="A",PomTab1!W17,IF(VARIJANTA="B",PomTab1!Y17,PomTab1!AA17))</f>
        <v>75.48</v>
      </c>
      <c r="L9" t="s">
        <v>84</v>
      </c>
      <c r="P9" s="4">
        <v>7</v>
      </c>
      <c r="Q9" s="35" t="s">
        <v>86</v>
      </c>
      <c r="U9" s="53"/>
    </row>
    <row r="10" spans="2:21" x14ac:dyDescent="0.25">
      <c r="B10" s="75" t="s">
        <v>79</v>
      </c>
      <c r="C10" s="75"/>
      <c r="D10" s="75"/>
      <c r="E10" s="75"/>
      <c r="G10" s="1" t="s">
        <v>26</v>
      </c>
      <c r="H10" s="1"/>
      <c r="I10" s="5" t="s">
        <v>29</v>
      </c>
      <c r="J10" s="17">
        <f>IF(VARIJANTA="A",PomTab1!W18,IF(VARIJANTA="B",PomTab1!Y18,PomTab1!AA18))</f>
        <v>180.17076</v>
      </c>
      <c r="L10" t="s">
        <v>83</v>
      </c>
      <c r="P10" s="4">
        <v>32</v>
      </c>
      <c r="Q10" s="34" t="str">
        <f>IF(VARIJANTA="C","-", IF(VARIJANTA="A","din/m2","din/kW"))</f>
        <v>din/m2</v>
      </c>
    </row>
    <row r="11" spans="2:21" ht="17.25" x14ac:dyDescent="0.25">
      <c r="B11" s="75"/>
      <c r="C11" s="75"/>
      <c r="D11" s="75"/>
      <c r="E11" s="75"/>
      <c r="G11" s="1" t="s">
        <v>27</v>
      </c>
      <c r="H11" s="1"/>
      <c r="I11" s="5" t="s">
        <v>30</v>
      </c>
      <c r="J11" s="17">
        <f>IF(VARIJANTA="A",PomTab1!W19,IF(VARIJANTA="B",PomTab1!Y19,PomTab1!AA19))</f>
        <v>10752.978309801516</v>
      </c>
      <c r="L11" t="s">
        <v>85</v>
      </c>
      <c r="P11" s="16">
        <v>2387</v>
      </c>
      <c r="Q11" s="34" t="s">
        <v>90</v>
      </c>
    </row>
    <row r="12" spans="2:21" ht="17.25" x14ac:dyDescent="0.25">
      <c r="B12" s="9"/>
      <c r="C12" s="9"/>
      <c r="D12" s="9"/>
      <c r="E12" s="9"/>
      <c r="I12" s="9"/>
      <c r="J12" s="30"/>
      <c r="L12" t="s">
        <v>92</v>
      </c>
      <c r="P12">
        <v>140.24</v>
      </c>
      <c r="Q12" s="34" t="s">
        <v>28</v>
      </c>
    </row>
    <row r="13" spans="2:21" ht="17.25" x14ac:dyDescent="0.25">
      <c r="B13" s="8" t="s">
        <v>76</v>
      </c>
      <c r="C13" s="8"/>
      <c r="D13" s="8"/>
      <c r="E13" s="8"/>
      <c r="F13" s="8"/>
      <c r="G13" s="8"/>
      <c r="H13" s="8"/>
      <c r="L13" t="s">
        <v>91</v>
      </c>
      <c r="P13">
        <v>64.760000000000005</v>
      </c>
      <c r="Q13" s="34" t="s">
        <v>28</v>
      </c>
    </row>
    <row r="14" spans="2:21" ht="17.25" x14ac:dyDescent="0.25">
      <c r="B14" s="8" t="s">
        <v>78</v>
      </c>
      <c r="C14" s="8"/>
      <c r="D14" s="8"/>
      <c r="E14" s="8"/>
      <c r="F14" s="8"/>
      <c r="G14" s="8"/>
      <c r="H14" s="8"/>
      <c r="L14" t="s">
        <v>93</v>
      </c>
      <c r="P14">
        <v>20</v>
      </c>
      <c r="Q14" s="34" t="s">
        <v>101</v>
      </c>
    </row>
    <row r="15" spans="2:21" ht="17.25" x14ac:dyDescent="0.25">
      <c r="B15" s="8" t="s">
        <v>77</v>
      </c>
      <c r="C15" s="8"/>
      <c r="D15" s="8"/>
      <c r="E15" s="8"/>
      <c r="F15" s="8"/>
      <c r="G15" s="8"/>
      <c r="H15" s="8"/>
      <c r="L15" t="s">
        <v>94</v>
      </c>
      <c r="P15">
        <v>20</v>
      </c>
      <c r="Q15" s="34" t="s">
        <v>101</v>
      </c>
    </row>
    <row r="16" spans="2:21" ht="17.25" x14ac:dyDescent="0.25">
      <c r="L16" t="s">
        <v>95</v>
      </c>
      <c r="P16">
        <v>20</v>
      </c>
      <c r="Q16" s="34" t="s">
        <v>101</v>
      </c>
    </row>
    <row r="17" spans="2:18" ht="17.25" x14ac:dyDescent="0.25">
      <c r="B17" s="68" t="s">
        <v>139</v>
      </c>
      <c r="C17" s="68"/>
      <c r="E17" s="69" t="s">
        <v>140</v>
      </c>
      <c r="F17" s="69"/>
      <c r="L17" t="s">
        <v>96</v>
      </c>
      <c r="P17">
        <v>-12</v>
      </c>
      <c r="Q17" s="34" t="s">
        <v>101</v>
      </c>
    </row>
    <row r="18" spans="2:18" x14ac:dyDescent="0.25">
      <c r="B18" s="68"/>
      <c r="C18" s="68"/>
      <c r="E18" s="69"/>
      <c r="F18" s="69"/>
      <c r="L18" t="s">
        <v>104</v>
      </c>
      <c r="P18" s="32"/>
      <c r="R18" t="b">
        <v>1</v>
      </c>
    </row>
  </sheetData>
  <sheetProtection selectLockedCells="1"/>
  <mergeCells count="7">
    <mergeCell ref="B17:C18"/>
    <mergeCell ref="E17:F18"/>
    <mergeCell ref="F3:I3"/>
    <mergeCell ref="B9:E9"/>
    <mergeCell ref="B10:E10"/>
    <mergeCell ref="B11:E11"/>
    <mergeCell ref="B7:G7"/>
  </mergeCells>
  <dataValidations count="9">
    <dataValidation type="decimal" allowBlank="1" showInputMessage="1" showErrorMessage="1" errorTitle="Ograničenje" error="Varijabilni deo ne može biti veći od 20 din/kWh." promptTitle="VAR" prompt="Unesi varijabilni deo" sqref="P9">
      <formula1>0</formula1>
      <formula2>20</formula2>
    </dataValidation>
    <dataValidation type="decimal" allowBlank="1" showInputMessage="1" showErrorMessage="1" errorTitle="FIX" error="Fiksni deo ne može biti veći od 300 dinara/m2" promptTitle="FIX" prompt="Unesi fiksni deo" sqref="P10">
      <formula1>0</formula1>
      <formula2>300</formula2>
    </dataValidation>
    <dataValidation type="whole" allowBlank="1" showInputMessage="1" showErrorMessage="1" promptTitle="POVR" prompt="Unesi grejanu površinu" sqref="P11">
      <formula1>0</formula1>
      <formula2>100000</formula2>
    </dataValidation>
    <dataValidation type="decimal" allowBlank="1" showInputMessage="1" showErrorMessage="1" errorTitle="Ograničenje" error="Najveća dozvoljena potrošnja 400 kWh/m2a" promptTitle="POT" prompt="Unesi potrošnju toplote prema elaboratu EE" sqref="P12">
      <formula1>0</formula1>
      <formula2>400</formula2>
    </dataValidation>
    <dataValidation type="decimal" allowBlank="1" showInputMessage="1" showErrorMessage="1" errorTitle="Ograničenje" error="Najveća dozvoljena potrošnja 120 kWh/m2a" promptTitle="PoPR" prompt="Unesi potrošnju enenergije prema elaboratu EE" sqref="P13">
      <formula1>0</formula1>
      <formula2>120</formula2>
    </dataValidation>
    <dataValidation type="decimal" allowBlank="1" showInputMessage="1" showErrorMessage="1" errorTitle="Ograničenje" error="Najveća dozvoljena temperatura 26 C" promptTitle="TPPP" prompt="Temperatura prostora prema tehničkim pravilima" sqref="P14">
      <formula1>0</formula1>
      <formula2>26</formula2>
    </dataValidation>
    <dataValidation type="decimal" allowBlank="1" showInputMessage="1" showErrorMessage="1" errorTitle="Ograničenje" error="Najveća dozvoljena temperatura 26 C" promptTitle="TPPOP" prompt="Temperatura prostora prema tehničkim pravilima" sqref="P15">
      <formula1>0</formula1>
      <formula2>26</formula2>
    </dataValidation>
    <dataValidation type="decimal" allowBlank="1" showInputMessage="1" showErrorMessage="1" errorTitle="Ograničenje" error="U rasponu 20 C do 21 C" promptTitle="SPTP" prompt="Projektna temperatura prostora prema tehničkim pravilima" sqref="P16">
      <formula1>20</formula1>
      <formula2>21</formula2>
    </dataValidation>
    <dataValidation type="decimal" allowBlank="1" showInputMessage="1" showErrorMessage="1" promptTitle="PTSP" prompt="Spoljna projektna temperatura prema tehničkim propisima" sqref="P17">
      <formula1>-12</formula1>
      <formula2>0</formula2>
    </dataValidation>
  </dataValidations>
  <hyperlinks>
    <hyperlink ref="B17:C18" location="UnosPodataka!O3" display="NAZAD"/>
    <hyperlink ref="E17:F18" location="Annuity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9" r:id="rId4" name="Check Box 21">
              <controlPr defaultSize="0" autoFill="0" autoLine="0" autoPict="0">
                <anchor moveWithCells="1">
                  <from>
                    <xdr:col>15</xdr:col>
                    <xdr:colOff>180975</xdr:colOff>
                    <xdr:row>16</xdr:row>
                    <xdr:rowOff>200025</xdr:rowOff>
                  </from>
                  <to>
                    <xdr:col>15</xdr:col>
                    <xdr:colOff>447675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Dozvoljen je samo unos ponuđenih opcija." promptTitle="Varijanta naplate" prompt="Odnosi se samo na naplatu po utrošku na jedan od tri ponuđena načina.">
          <x14:formula1>
            <xm:f>PomTab1!$T$8:$T$10</xm:f>
          </x14:formula1>
          <xm:sqref>B10:E10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M32"/>
  <sheetViews>
    <sheetView workbookViewId="0">
      <selection activeCell="F5" sqref="F5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64" t="s">
        <v>159</v>
      </c>
      <c r="E3" s="64"/>
      <c r="F3" s="64"/>
      <c r="G3" s="64"/>
    </row>
    <row r="7" spans="2:13" ht="21" x14ac:dyDescent="0.35">
      <c r="B7" s="71" t="s">
        <v>105</v>
      </c>
      <c r="C7" s="71"/>
      <c r="D7" s="71"/>
      <c r="E7" s="71"/>
      <c r="F7" s="71"/>
      <c r="G7" s="71"/>
    </row>
    <row r="9" spans="2:13" x14ac:dyDescent="0.25">
      <c r="B9" t="s">
        <v>106</v>
      </c>
      <c r="D9" s="9" t="s">
        <v>1</v>
      </c>
      <c r="E9" s="18">
        <f>LOAN</f>
        <v>14160</v>
      </c>
      <c r="I9" s="68" t="s">
        <v>139</v>
      </c>
      <c r="J9" s="68"/>
      <c r="L9" s="69" t="s">
        <v>140</v>
      </c>
      <c r="M9" s="69"/>
    </row>
    <row r="10" spans="2:13" x14ac:dyDescent="0.25">
      <c r="I10" s="68"/>
      <c r="J10" s="68"/>
      <c r="L10" s="69"/>
      <c r="M10" s="69"/>
    </row>
    <row r="11" spans="2:13" x14ac:dyDescent="0.25">
      <c r="B11" s="19" t="s">
        <v>31</v>
      </c>
      <c r="C11" s="19" t="s">
        <v>107</v>
      </c>
      <c r="D11" s="19" t="s">
        <v>108</v>
      </c>
      <c r="E11" s="19" t="s">
        <v>109</v>
      </c>
    </row>
    <row r="13" spans="2:13" x14ac:dyDescent="0.25">
      <c r="B13">
        <v>1</v>
      </c>
      <c r="C13" s="4">
        <f>E9</f>
        <v>14160</v>
      </c>
      <c r="D13" s="4">
        <f>IF(UnosPodataka!M16=0,"",UnosPodataka!$M$16*Annuity!$E$9)</f>
        <v>1699.2</v>
      </c>
      <c r="E13" s="4">
        <f>PMT(UnosPodataka!$M$16,UnosPodataka!$M$18,Annuity!$E$9)</f>
        <v>-2285.9451955309801</v>
      </c>
    </row>
    <row r="14" spans="2:13" x14ac:dyDescent="0.25">
      <c r="B14">
        <f>IF(B13&lt;UnosPodataka!$M$18,B13+1,"")</f>
        <v>2</v>
      </c>
      <c r="C14" s="4">
        <f>IF(B14&lt;&gt;"",SUM(C13:E13),"")</f>
        <v>13573.254804469021</v>
      </c>
      <c r="D14" s="4">
        <f>IF(B14&lt;&gt;"",C14*UnosPodataka!$M$16,"")</f>
        <v>1628.7905765362825</v>
      </c>
      <c r="E14" s="4">
        <f>IF(B14&lt;&gt;"",PMT(UnosPodataka!$M$16,UnosPodataka!$M$18,Annuity!$E$9),"")</f>
        <v>-2285.9451955309801</v>
      </c>
    </row>
    <row r="15" spans="2:13" x14ac:dyDescent="0.25">
      <c r="B15">
        <f>IF(B14&lt;UnosPodataka!$M$18,B14+1,"")</f>
        <v>3</v>
      </c>
      <c r="C15" s="4">
        <f t="shared" ref="C15:C32" si="0">IF(B15&lt;&gt;"",SUM(C14:E14),"")</f>
        <v>12916.100185474324</v>
      </c>
      <c r="D15" s="4">
        <f>IF(B15&lt;&gt;"",C15*UnosPodataka!$M$16,"")</f>
        <v>1549.9320222569188</v>
      </c>
      <c r="E15" s="4">
        <f>IF(B15&lt;&gt;"",PMT(UnosPodataka!$M$16,UnosPodataka!$M$18,Annuity!$E$9),"")</f>
        <v>-2285.9451955309801</v>
      </c>
    </row>
    <row r="16" spans="2:13" x14ac:dyDescent="0.25">
      <c r="B16">
        <f>IF(B15&lt;UnosPodataka!$M$18,B15+1,"")</f>
        <v>4</v>
      </c>
      <c r="C16" s="4">
        <f t="shared" si="0"/>
        <v>12180.087012200263</v>
      </c>
      <c r="D16" s="4">
        <f>IF(B16&lt;&gt;"",C16*UnosPodataka!$M$16,"")</f>
        <v>1461.6104414640315</v>
      </c>
      <c r="E16" s="4">
        <f>IF(B16&lt;&gt;"",PMT(UnosPodataka!$M$16,UnosPodataka!$M$18,Annuity!$E$9),"")</f>
        <v>-2285.9451955309801</v>
      </c>
    </row>
    <row r="17" spans="2:5" x14ac:dyDescent="0.25">
      <c r="B17">
        <f>IF(B16&lt;UnosPodataka!$M$18,B16+1,"")</f>
        <v>5</v>
      </c>
      <c r="C17" s="4">
        <f t="shared" si="0"/>
        <v>11355.752258133316</v>
      </c>
      <c r="D17" s="4">
        <f>IF(B17&lt;&gt;"",C17*UnosPodataka!$M$16,"")</f>
        <v>1362.6902709759979</v>
      </c>
      <c r="E17" s="4">
        <f>IF(B17&lt;&gt;"",PMT(UnosPodataka!$M$16,UnosPodataka!$M$18,Annuity!$E$9),"")</f>
        <v>-2285.9451955309801</v>
      </c>
    </row>
    <row r="18" spans="2:5" x14ac:dyDescent="0.25">
      <c r="B18">
        <f>IF(B17&lt;UnosPodataka!$M$18,B17+1,"")</f>
        <v>6</v>
      </c>
      <c r="C18" s="4">
        <f t="shared" si="0"/>
        <v>10432.497333578334</v>
      </c>
      <c r="D18" s="4">
        <f>IF(B18&lt;&gt;"",C18*UnosPodataka!$M$16,"")</f>
        <v>1251.8996800294001</v>
      </c>
      <c r="E18" s="4">
        <f>IF(B18&lt;&gt;"",PMT(UnosPodataka!$M$16,UnosPodataka!$M$18,Annuity!$E$9),"")</f>
        <v>-2285.9451955309801</v>
      </c>
    </row>
    <row r="19" spans="2:5" x14ac:dyDescent="0.25">
      <c r="B19">
        <f>IF(B18&lt;UnosPodataka!$M$18,B18+1,"")</f>
        <v>7</v>
      </c>
      <c r="C19" s="4">
        <f t="shared" si="0"/>
        <v>9398.4518180767554</v>
      </c>
      <c r="D19" s="4">
        <f>IF(B19&lt;&gt;"",C19*UnosPodataka!$M$16,"")</f>
        <v>1127.8142181692106</v>
      </c>
      <c r="E19" s="4">
        <f>IF(B19&lt;&gt;"",PMT(UnosPodataka!$M$16,UnosPodataka!$M$18,Annuity!$E$9),"")</f>
        <v>-2285.9451955309801</v>
      </c>
    </row>
    <row r="20" spans="2:5" x14ac:dyDescent="0.25">
      <c r="B20">
        <f>IF(B19&lt;UnosPodataka!$M$18,B19+1,"")</f>
        <v>8</v>
      </c>
      <c r="C20" s="4">
        <f t="shared" si="0"/>
        <v>8240.3208407149868</v>
      </c>
      <c r="D20" s="4">
        <f>IF(B20&lt;&gt;"",C20*UnosPodataka!$M$16,"")</f>
        <v>988.83850088579834</v>
      </c>
      <c r="E20" s="4">
        <f>IF(B20&lt;&gt;"",PMT(UnosPodataka!$M$16,UnosPodataka!$M$18,Annuity!$E$9),"")</f>
        <v>-2285.9451955309801</v>
      </c>
    </row>
    <row r="21" spans="2:5" x14ac:dyDescent="0.25">
      <c r="B21">
        <f>IF(B20&lt;UnosPodataka!$M$18,B20+1,"")</f>
        <v>9</v>
      </c>
      <c r="C21" s="4">
        <f t="shared" si="0"/>
        <v>6943.2141460698058</v>
      </c>
      <c r="D21" s="4">
        <f>IF(B21&lt;&gt;"",C21*UnosPodataka!$M$16,"")</f>
        <v>833.18569752837664</v>
      </c>
      <c r="E21" s="4">
        <f>IF(B21&lt;&gt;"",PMT(UnosPodataka!$M$16,UnosPodataka!$M$18,Annuity!$E$9),"")</f>
        <v>-2285.9451955309801</v>
      </c>
    </row>
    <row r="22" spans="2:5" x14ac:dyDescent="0.25">
      <c r="B22">
        <f>IF(B21&lt;UnosPodataka!$M$18,B21+1,"")</f>
        <v>10</v>
      </c>
      <c r="C22" s="4">
        <f t="shared" si="0"/>
        <v>5490.4546480672016</v>
      </c>
      <c r="D22" s="4">
        <f>IF(B22&lt;&gt;"",C22*UnosPodataka!$M$16,"")</f>
        <v>658.85455776806418</v>
      </c>
      <c r="E22" s="4">
        <f>IF(B22&lt;&gt;"",PMT(UnosPodataka!$M$16,UnosPodataka!$M$18,Annuity!$E$9),"")</f>
        <v>-2285.9451955309801</v>
      </c>
    </row>
    <row r="23" spans="2:5" x14ac:dyDescent="0.25">
      <c r="B23">
        <f>IF(B22&lt;UnosPodataka!$M$18,B22+1,"")</f>
        <v>11</v>
      </c>
      <c r="C23" s="4">
        <f t="shared" si="0"/>
        <v>3863.3640103042858</v>
      </c>
      <c r="D23" s="4">
        <f>IF(B23&lt;&gt;"",C23*UnosPodataka!$M$16,"")</f>
        <v>463.60368123651426</v>
      </c>
      <c r="E23" s="4">
        <f>IF(B23&lt;&gt;"",PMT(UnosPodataka!$M$16,UnosPodataka!$M$18,Annuity!$E$9),"")</f>
        <v>-2285.9451955309801</v>
      </c>
    </row>
    <row r="24" spans="2:5" x14ac:dyDescent="0.25">
      <c r="B24">
        <f>IF(B23&lt;UnosPodataka!$M$18,B23+1,"")</f>
        <v>12</v>
      </c>
      <c r="C24" s="4">
        <f t="shared" si="0"/>
        <v>2041.0224960098199</v>
      </c>
      <c r="D24" s="4">
        <f>IF(B24&lt;&gt;"",C24*UnosPodataka!$M$16,"")</f>
        <v>244.92269952117837</v>
      </c>
      <c r="E24" s="4">
        <f>IF(B24&lt;&gt;"",PMT(UnosPodataka!$M$16,UnosPodataka!$M$18,Annuity!$E$9),"")</f>
        <v>-2285.9451955309801</v>
      </c>
    </row>
    <row r="25" spans="2:5" x14ac:dyDescent="0.25">
      <c r="B25" t="str">
        <f>IF(B24&lt;UnosPodataka!$M$18,B24+1,"")</f>
        <v/>
      </c>
      <c r="C25" s="4" t="str">
        <f t="shared" si="0"/>
        <v/>
      </c>
      <c r="D25" s="4" t="str">
        <f>IF(B25&lt;&gt;"",C25*UnosPodataka!$M$16,"")</f>
        <v/>
      </c>
      <c r="E25" s="4" t="str">
        <f>IF(B25&lt;&gt;"",PMT(UnosPodataka!$M$16,UnosPodataka!$M$18,Annuity!$E$9),"")</f>
        <v/>
      </c>
    </row>
    <row r="26" spans="2:5" x14ac:dyDescent="0.25">
      <c r="B26" t="str">
        <f>IF(B25&lt;UnosPodataka!$M$18,B25+1,"")</f>
        <v/>
      </c>
      <c r="C26" s="4" t="str">
        <f t="shared" si="0"/>
        <v/>
      </c>
      <c r="D26" s="4" t="str">
        <f>IF(B26&lt;&gt;"",C26*UnosPodataka!$M$16,"")</f>
        <v/>
      </c>
      <c r="E26" s="4" t="str">
        <f>IF(B26&lt;&gt;"",PMT(UnosPodataka!$M$16,UnosPodataka!$M$18,Annuity!$E$9),"")</f>
        <v/>
      </c>
    </row>
    <row r="27" spans="2:5" x14ac:dyDescent="0.25">
      <c r="B27" t="str">
        <f>IF(B26&lt;UnosPodataka!$M$18,B26+1,"")</f>
        <v/>
      </c>
      <c r="C27" s="4" t="str">
        <f t="shared" si="0"/>
        <v/>
      </c>
      <c r="D27" s="4" t="str">
        <f>IF(B27&lt;&gt;"",C27*UnosPodataka!$M$16,"")</f>
        <v/>
      </c>
      <c r="E27" s="4" t="str">
        <f>IF(B27&lt;&gt;"",PMT(UnosPodataka!$M$16,UnosPodataka!$M$18,Annuity!$E$9),"")</f>
        <v/>
      </c>
    </row>
    <row r="28" spans="2:5" x14ac:dyDescent="0.25">
      <c r="B28" t="str">
        <f>IF(B27&lt;UnosPodataka!$M$18,B27+1,"")</f>
        <v/>
      </c>
      <c r="C28" s="4" t="str">
        <f t="shared" si="0"/>
        <v/>
      </c>
      <c r="D28" s="4" t="str">
        <f>IF(B28&lt;&gt;"",C28*UnosPodataka!$M$16,"")</f>
        <v/>
      </c>
      <c r="E28" s="4" t="str">
        <f>IF(B28&lt;&gt;"",PMT(UnosPodataka!$M$16,UnosPodataka!$M$18,Annuity!$E$9),"")</f>
        <v/>
      </c>
    </row>
    <row r="29" spans="2:5" x14ac:dyDescent="0.25">
      <c r="B29" t="str">
        <f>IF(B28&lt;UnosPodataka!$M$18,B28+1,"")</f>
        <v/>
      </c>
      <c r="C29" s="4" t="str">
        <f t="shared" si="0"/>
        <v/>
      </c>
      <c r="D29" s="4" t="str">
        <f>IF(B29&lt;&gt;"",C29*UnosPodataka!$M$16,"")</f>
        <v/>
      </c>
      <c r="E29" s="4" t="str">
        <f>IF(B29&lt;&gt;"",PMT(UnosPodataka!$M$16,UnosPodataka!$M$18,Annuity!$E$9),"")</f>
        <v/>
      </c>
    </row>
    <row r="30" spans="2:5" x14ac:dyDescent="0.25">
      <c r="B30" t="str">
        <f>IF(B29&lt;UnosPodataka!$M$18,B29+1,"")</f>
        <v/>
      </c>
      <c r="C30" s="4" t="str">
        <f t="shared" si="0"/>
        <v/>
      </c>
      <c r="D30" s="4" t="str">
        <f>IF(B30&lt;&gt;"",C30*UnosPodataka!$M$16,"")</f>
        <v/>
      </c>
      <c r="E30" s="4" t="str">
        <f>IF(B30&lt;&gt;"",PMT(UnosPodataka!$M$16,UnosPodataka!$M$18,Annuity!$E$9),"")</f>
        <v/>
      </c>
    </row>
    <row r="31" spans="2:5" x14ac:dyDescent="0.25">
      <c r="B31" t="str">
        <f>IF(B30&lt;UnosPodataka!$M$18,B30+1,"")</f>
        <v/>
      </c>
      <c r="C31" s="4" t="str">
        <f t="shared" si="0"/>
        <v/>
      </c>
      <c r="D31" s="4" t="str">
        <f>IF(B31&lt;&gt;"",C31*UnosPodataka!$M$16,"")</f>
        <v/>
      </c>
      <c r="E31" s="4" t="str">
        <f>IF(B31&lt;&gt;"",PMT(UnosPodataka!$M$16,UnosPodataka!$M$18,Annuity!$E$9),"")</f>
        <v/>
      </c>
    </row>
    <row r="32" spans="2:5" x14ac:dyDescent="0.25">
      <c r="B32" t="str">
        <f>IF(B31&lt;UnosPodataka!$M$18,B31+1,"")</f>
        <v/>
      </c>
      <c r="C32" s="4" t="str">
        <f t="shared" si="0"/>
        <v/>
      </c>
      <c r="D32" s="4" t="str">
        <f>IF(B32&lt;&gt;"",C32*UnosPodataka!$M$16,"")</f>
        <v/>
      </c>
      <c r="E32" s="4" t="str">
        <f>IF(B32&lt;&gt;"",PMT(UnosPodataka!$M$16,UnosPodataka!$M$18,Annuity!$E$9),"")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B12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3:Z60"/>
  <sheetViews>
    <sheetView showZeros="0" topLeftCell="A6" zoomScale="80" zoomScaleNormal="80" workbookViewId="0">
      <selection activeCell="F22" sqref="F22"/>
    </sheetView>
  </sheetViews>
  <sheetFormatPr defaultRowHeight="15" x14ac:dyDescent="0.25"/>
  <cols>
    <col min="4" max="4" width="24.28515625" customWidth="1"/>
    <col min="5" max="6" width="11.85546875" customWidth="1"/>
    <col min="7" max="8" width="11.28515625" customWidth="1"/>
    <col min="9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7109375" customWidth="1"/>
    <col min="19" max="20" width="13.28515625" customWidth="1"/>
    <col min="21" max="22" width="12.7109375" customWidth="1"/>
    <col min="23" max="23" width="12.85546875" customWidth="1"/>
    <col min="24" max="24" width="12.140625" customWidth="1"/>
    <col min="25" max="25" width="12.85546875" customWidth="1"/>
  </cols>
  <sheetData>
    <row r="3" spans="1:25" ht="16.5" x14ac:dyDescent="0.35">
      <c r="E3" s="64" t="s">
        <v>159</v>
      </c>
      <c r="F3" s="64"/>
      <c r="G3" s="64"/>
      <c r="H3" s="64"/>
    </row>
    <row r="7" spans="1:25" ht="21" x14ac:dyDescent="0.35">
      <c r="A7" s="71" t="s">
        <v>110</v>
      </c>
      <c r="B7" s="71"/>
      <c r="C7" s="71"/>
      <c r="D7" s="71"/>
      <c r="I7" s="68" t="s">
        <v>139</v>
      </c>
      <c r="J7" s="68"/>
      <c r="N7" s="69" t="s">
        <v>140</v>
      </c>
      <c r="O7" s="69"/>
    </row>
    <row r="9" spans="1:25" x14ac:dyDescent="0.25">
      <c r="A9" s="67" t="s">
        <v>63</v>
      </c>
      <c r="B9" s="67"/>
      <c r="C9" s="67"/>
      <c r="D9" s="67"/>
      <c r="E9" s="19">
        <v>0</v>
      </c>
      <c r="F9" s="19">
        <v>1</v>
      </c>
      <c r="G9" s="19">
        <f>IF(F9&lt;UnosPodataka!$M$21,FinaIndicators!F9+1,"")</f>
        <v>2</v>
      </c>
      <c r="H9" s="19">
        <f>IF(G9&lt;UnosPodataka!$M$21,FinaIndicators!G9+1,"")</f>
        <v>3</v>
      </c>
      <c r="I9" s="19">
        <f>IF(H9&lt;UnosPodataka!$M$21,FinaIndicators!H9+1,"")</f>
        <v>4</v>
      </c>
      <c r="J9" s="19">
        <f>IF(I9&lt;UnosPodataka!$M$21,FinaIndicators!I9+1,"")</f>
        <v>5</v>
      </c>
      <c r="K9" s="19">
        <f>IF(J9&lt;UnosPodataka!$M$21,FinaIndicators!J9+1,"")</f>
        <v>6</v>
      </c>
      <c r="L9" s="19">
        <f>IF(K9&lt;UnosPodataka!$M$21,FinaIndicators!K9+1,"")</f>
        <v>7</v>
      </c>
      <c r="M9" s="19">
        <f>IF(L9&lt;UnosPodataka!$M$21,FinaIndicators!L9+1,"")</f>
        <v>8</v>
      </c>
      <c r="N9" s="19">
        <f>IF(M9&lt;UnosPodataka!$M$21,FinaIndicators!M9+1,"")</f>
        <v>9</v>
      </c>
      <c r="O9" s="19">
        <f>IF(N9&lt;UnosPodataka!$M$21,FinaIndicators!N9+1,"")</f>
        <v>10</v>
      </c>
      <c r="P9" s="19">
        <f>IF(O9&lt;UnosPodataka!$M$21,FinaIndicators!O9+1,"")</f>
        <v>11</v>
      </c>
      <c r="Q9" s="19">
        <f>IF(P9&lt;UnosPodataka!$M$21,FinaIndicators!P9+1,"")</f>
        <v>12</v>
      </c>
      <c r="R9" s="19">
        <f>IF(Q9&lt;UnosPodataka!$M$21,FinaIndicators!Q9+1,"")</f>
        <v>13</v>
      </c>
      <c r="S9" s="19">
        <f>IF(R9&lt;UnosPodataka!$M$21,FinaIndicators!R9+1,"")</f>
        <v>14</v>
      </c>
      <c r="T9" s="19">
        <f>IF(S9&lt;UnosPodataka!$M$21,FinaIndicators!S9+1,"")</f>
        <v>15</v>
      </c>
      <c r="U9" s="19">
        <f>IF(T9&lt;UnosPodataka!$M$21,FinaIndicators!T9+1,"")</f>
        <v>16</v>
      </c>
      <c r="V9" s="19">
        <f>IF(U9&lt;UnosPodataka!$M$21,FinaIndicators!U9+1,"")</f>
        <v>17</v>
      </c>
      <c r="W9" s="19">
        <f>IF(V9&lt;UnosPodataka!$M$21,FinaIndicators!V9+1,"")</f>
        <v>18</v>
      </c>
      <c r="X9" s="19">
        <f>IF(W9&lt;UnosPodataka!$M$21,FinaIndicators!W9+1,"")</f>
        <v>19</v>
      </c>
      <c r="Y9" s="19">
        <f>IF(X9&lt;UnosPodataka!$M$21,FinaIndicators!X9+1,"")</f>
        <v>20</v>
      </c>
    </row>
    <row r="11" spans="1:25" x14ac:dyDescent="0.25">
      <c r="A11" s="74" t="s">
        <v>111</v>
      </c>
      <c r="B11" s="74"/>
      <c r="C11" s="74"/>
      <c r="D11" s="74"/>
      <c r="E11" s="4">
        <f>LOAN</f>
        <v>14160</v>
      </c>
    </row>
    <row r="12" spans="1:25" x14ac:dyDescent="0.25">
      <c r="A12" s="74" t="s">
        <v>112</v>
      </c>
      <c r="B12" s="74"/>
      <c r="C12" s="74"/>
      <c r="D12" s="74"/>
      <c r="E12" s="4">
        <f>IF(EQUITY=0,LOAN,EQUITY)</f>
        <v>2000</v>
      </c>
    </row>
    <row r="13" spans="1:25" x14ac:dyDescent="0.25">
      <c r="A13" s="74" t="s">
        <v>164</v>
      </c>
      <c r="B13" s="74"/>
      <c r="C13" s="74"/>
      <c r="D13" s="74"/>
      <c r="E13" s="4">
        <f>+PomTab1!K22</f>
        <v>10000</v>
      </c>
    </row>
    <row r="14" spans="1:25" x14ac:dyDescent="0.25">
      <c r="A14" s="74" t="s">
        <v>113</v>
      </c>
      <c r="B14" s="74"/>
      <c r="C14" s="74"/>
      <c r="D14" s="74"/>
      <c r="F14" s="4">
        <f>IF(F9&lt;&gt;"",Ustede!$J$10,"")</f>
        <v>180.17076</v>
      </c>
      <c r="G14" s="4">
        <f>IF(G9&lt;&gt;"",Ustede!$J$10,"")</f>
        <v>180.17076</v>
      </c>
      <c r="H14" s="4">
        <f>IF(H9&lt;&gt;"",Ustede!$J$10,"")</f>
        <v>180.17076</v>
      </c>
      <c r="I14" s="4">
        <f>IF(I9&lt;&gt;"",Ustede!$J$10,"")</f>
        <v>180.17076</v>
      </c>
      <c r="J14" s="4">
        <f>IF(J9&lt;&gt;"",Ustede!$J$10,"")</f>
        <v>180.17076</v>
      </c>
      <c r="K14" s="4">
        <f>IF(K9&lt;&gt;"",Ustede!$J$10,"")</f>
        <v>180.17076</v>
      </c>
      <c r="L14" s="4">
        <f>IF(L9&lt;&gt;"",Ustede!$J$10,"")</f>
        <v>180.17076</v>
      </c>
      <c r="M14" s="4">
        <f>IF(M9&lt;&gt;"",Ustede!$J$10,"")</f>
        <v>180.17076</v>
      </c>
      <c r="N14" s="4">
        <f>IF(N9&lt;&gt;"",Ustede!$J$10,"")</f>
        <v>180.17076</v>
      </c>
      <c r="O14" s="4">
        <f>IF(O9&lt;&gt;"",Ustede!$J$10,"")</f>
        <v>180.17076</v>
      </c>
      <c r="P14" s="4">
        <f>IF(P9&lt;&gt;"",Ustede!$J$10,"")</f>
        <v>180.17076</v>
      </c>
      <c r="Q14" s="4">
        <f>IF(Q9&lt;&gt;"",Ustede!$J$10,"")</f>
        <v>180.17076</v>
      </c>
      <c r="R14" s="4">
        <f>IF(R9&lt;&gt;"",Ustede!$J$10,"")</f>
        <v>180.17076</v>
      </c>
      <c r="S14" s="4">
        <f>IF(S9&lt;&gt;"",Ustede!$J$10,"")</f>
        <v>180.17076</v>
      </c>
      <c r="T14" s="4">
        <f>IF(T9&lt;&gt;"",Ustede!$J$10,"")</f>
        <v>180.17076</v>
      </c>
      <c r="U14" s="4">
        <f>IF(U9&lt;&gt;"",Ustede!$J$10,"")</f>
        <v>180.17076</v>
      </c>
      <c r="V14" s="4">
        <f>IF(V9&lt;&gt;"",Ustede!$J$10,"")</f>
        <v>180.17076</v>
      </c>
      <c r="W14" s="4">
        <f>IF(W9&lt;&gt;"",Ustede!$J$10,"")</f>
        <v>180.17076</v>
      </c>
      <c r="X14" s="4">
        <f>IF(X9&lt;&gt;"",Ustede!$J$10,"")</f>
        <v>180.17076</v>
      </c>
      <c r="Y14" s="4">
        <f>IF(Y9&lt;&gt;"",Ustede!$J$10,"")</f>
        <v>180.17076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67" t="s">
        <v>165</v>
      </c>
      <c r="B16" s="67"/>
      <c r="C16" s="67"/>
      <c r="D16" s="67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74" t="s">
        <v>114</v>
      </c>
      <c r="B17" s="74"/>
      <c r="C17" s="74"/>
      <c r="D17" s="74"/>
      <c r="F17" s="4">
        <f>IF(F9&lt;&gt;"",Ustede!$J$11,"")</f>
        <v>10752.978309801516</v>
      </c>
      <c r="G17" s="4">
        <f>IF(G9&lt;&gt;"",Ustede!$J$11,"")</f>
        <v>10752.978309801516</v>
      </c>
      <c r="H17" s="4">
        <f>IF(H9&lt;&gt;"",Ustede!$J$11,"")</f>
        <v>10752.978309801516</v>
      </c>
      <c r="I17" s="4">
        <f>IF(I9&lt;&gt;"",Ustede!$J$11,"")</f>
        <v>10752.978309801516</v>
      </c>
      <c r="J17" s="4">
        <f>IF(J9&lt;&gt;"",Ustede!$J$11,"")</f>
        <v>10752.978309801516</v>
      </c>
      <c r="K17" s="4">
        <f>IF(K9&lt;&gt;"",Ustede!$J$11,"")</f>
        <v>10752.978309801516</v>
      </c>
      <c r="L17" s="4">
        <f>IF(L9&lt;&gt;"",Ustede!$J$11,"")</f>
        <v>10752.978309801516</v>
      </c>
      <c r="M17" s="4">
        <f>IF(M9&lt;&gt;"",Ustede!$J$11,"")</f>
        <v>10752.978309801516</v>
      </c>
      <c r="N17" s="4">
        <f>IF(N9&lt;&gt;"",Ustede!$J$11,"")</f>
        <v>10752.978309801516</v>
      </c>
      <c r="O17" s="4">
        <f>IF(O9&lt;&gt;"",Ustede!$J$11,"")</f>
        <v>10752.978309801516</v>
      </c>
      <c r="P17" s="4">
        <f>IF(P9&lt;&gt;"",Ustede!$J$11,"")</f>
        <v>10752.978309801516</v>
      </c>
      <c r="Q17" s="4">
        <f>IF(Q9&lt;&gt;"",Ustede!$J$11,"")</f>
        <v>10752.978309801516</v>
      </c>
      <c r="R17" s="4">
        <f>IF(R9&lt;&gt;"",Ustede!$J$11,"")</f>
        <v>10752.978309801516</v>
      </c>
      <c r="S17" s="4">
        <f>IF(S9&lt;&gt;"",Ustede!$J$11,"")</f>
        <v>10752.978309801516</v>
      </c>
      <c r="T17" s="4">
        <f>IF(T9&lt;&gt;"",Ustede!$J$11,"")</f>
        <v>10752.978309801516</v>
      </c>
      <c r="U17" s="4">
        <f>IF(U9&lt;&gt;"",Ustede!$J$11,"")</f>
        <v>10752.978309801516</v>
      </c>
      <c r="V17" s="4">
        <f>IF(V9&lt;&gt;"",Ustede!$J$11,"")</f>
        <v>10752.978309801516</v>
      </c>
      <c r="W17" s="4">
        <f>IF(W9&lt;&gt;"",Ustede!$J$11,"")</f>
        <v>10752.978309801516</v>
      </c>
      <c r="X17" s="4">
        <f>IF(X9&lt;&gt;"",Ustede!$J$11,"")</f>
        <v>10752.978309801516</v>
      </c>
      <c r="Y17" s="4">
        <f>IF(Y9&lt;&gt;"",Ustede!$J$11,"")</f>
        <v>10752.978309801516</v>
      </c>
    </row>
    <row r="18" spans="1:25" x14ac:dyDescent="0.25">
      <c r="A18" s="80" t="s">
        <v>115</v>
      </c>
      <c r="B18" s="80"/>
      <c r="C18" s="80"/>
      <c r="D18" s="80"/>
      <c r="E18" s="39"/>
      <c r="F18" s="40">
        <f>IF(F9&lt;&gt;"",F17,"")</f>
        <v>10752.978309801516</v>
      </c>
      <c r="G18" s="40">
        <f t="shared" ref="G18:Y18" si="0">IF(G9&lt;&gt;"",G17,"")</f>
        <v>10752.978309801516</v>
      </c>
      <c r="H18" s="40">
        <f t="shared" si="0"/>
        <v>10752.978309801516</v>
      </c>
      <c r="I18" s="40">
        <f t="shared" si="0"/>
        <v>10752.978309801516</v>
      </c>
      <c r="J18" s="40">
        <f t="shared" si="0"/>
        <v>10752.978309801516</v>
      </c>
      <c r="K18" s="40">
        <f t="shared" si="0"/>
        <v>10752.978309801516</v>
      </c>
      <c r="L18" s="40">
        <f t="shared" si="0"/>
        <v>10752.978309801516</v>
      </c>
      <c r="M18" s="40">
        <f t="shared" si="0"/>
        <v>10752.978309801516</v>
      </c>
      <c r="N18" s="40">
        <f t="shared" si="0"/>
        <v>10752.978309801516</v>
      </c>
      <c r="O18" s="40">
        <f t="shared" si="0"/>
        <v>10752.978309801516</v>
      </c>
      <c r="P18" s="40">
        <f t="shared" si="0"/>
        <v>10752.978309801516</v>
      </c>
      <c r="Q18" s="40">
        <f t="shared" si="0"/>
        <v>10752.978309801516</v>
      </c>
      <c r="R18" s="40">
        <f t="shared" si="0"/>
        <v>10752.978309801516</v>
      </c>
      <c r="S18" s="40">
        <f t="shared" si="0"/>
        <v>10752.978309801516</v>
      </c>
      <c r="T18" s="40">
        <f t="shared" si="0"/>
        <v>10752.978309801516</v>
      </c>
      <c r="U18" s="40">
        <f t="shared" si="0"/>
        <v>10752.978309801516</v>
      </c>
      <c r="V18" s="40">
        <f t="shared" si="0"/>
        <v>10752.978309801516</v>
      </c>
      <c r="W18" s="40">
        <f t="shared" si="0"/>
        <v>10752.978309801516</v>
      </c>
      <c r="X18" s="40">
        <f t="shared" si="0"/>
        <v>10752.978309801516</v>
      </c>
      <c r="Y18" s="40">
        <f t="shared" si="0"/>
        <v>10752.978309801516</v>
      </c>
    </row>
    <row r="19" spans="1:25" x14ac:dyDescent="0.25">
      <c r="A19" s="75"/>
      <c r="B19" s="75"/>
      <c r="C19" s="75"/>
      <c r="D19" s="75"/>
    </row>
    <row r="20" spans="1:25" x14ac:dyDescent="0.25">
      <c r="A20" s="67" t="s">
        <v>166</v>
      </c>
      <c r="B20" s="67"/>
      <c r="C20" s="67"/>
      <c r="D20" s="67"/>
    </row>
    <row r="21" spans="1:25" x14ac:dyDescent="0.25">
      <c r="A21" s="74" t="s">
        <v>116</v>
      </c>
      <c r="B21" s="74"/>
      <c r="C21" s="74"/>
      <c r="D21" s="74"/>
      <c r="F21" s="4">
        <f>IF(F9&gt;UnosPodataka!$M$18,"",-VLOOKUP(F9,Annuity!$B$13:$E$32,3,FALSE))</f>
        <v>-1699.2</v>
      </c>
      <c r="G21" s="4">
        <f>IF(G9&gt;UnosPodataka!$M$18,"",-VLOOKUP(G9,Annuity!$B$13:$E$32,3,FALSE))</f>
        <v>-1628.7905765362825</v>
      </c>
      <c r="H21" s="4">
        <f>IF(H9&gt;UnosPodataka!$M$18,"",-VLOOKUP(H9,Annuity!$B$13:$E$32,3,FALSE))</f>
        <v>-1549.9320222569188</v>
      </c>
      <c r="I21" s="4">
        <f>IF(I9&gt;UnosPodataka!$M$18,"",-VLOOKUP(I9,Annuity!$B$13:$E$32,3,FALSE))</f>
        <v>-1461.6104414640315</v>
      </c>
      <c r="J21" s="4">
        <f>IF(J9&gt;UnosPodataka!$M$18,"",-VLOOKUP(J9,Annuity!$B$13:$E$32,3,FALSE))</f>
        <v>-1362.6902709759979</v>
      </c>
      <c r="K21" s="4">
        <f>IF(K9&gt;UnosPodataka!$M$18,"",-VLOOKUP(K9,Annuity!$B$13:$E$32,3,FALSE))</f>
        <v>-1251.8996800294001</v>
      </c>
      <c r="L21" s="4">
        <f>IF(L9&gt;UnosPodataka!$M$18,"",-VLOOKUP(L9,Annuity!$B$13:$E$32,3,FALSE))</f>
        <v>-1127.8142181692106</v>
      </c>
      <c r="M21" s="4">
        <f>IF(M9&gt;UnosPodataka!$M$18,"",-VLOOKUP(M9,Annuity!$B$13:$E$32,3,FALSE))</f>
        <v>-988.83850088579834</v>
      </c>
      <c r="N21" s="4">
        <f>IF(N9&gt;UnosPodataka!$M$18,"",-VLOOKUP(N9,Annuity!$B$13:$E$32,3,FALSE))</f>
        <v>-833.18569752837664</v>
      </c>
      <c r="O21" s="4">
        <f>IF(O9&gt;UnosPodataka!$M$18,"",-VLOOKUP(O9,Annuity!$B$13:$E$32,3,FALSE))</f>
        <v>-658.85455776806418</v>
      </c>
      <c r="P21" s="4">
        <f>IF(P9&gt;UnosPodataka!$M$18,"",-VLOOKUP(P9,Annuity!$B$13:$E$32,3,FALSE))</f>
        <v>-463.60368123651426</v>
      </c>
      <c r="Q21" s="4">
        <f>IF(Q9&gt;UnosPodataka!$M$18,"",-VLOOKUP(Q9,Annuity!$B$13:$E$32,3,FALSE))</f>
        <v>-244.92269952117837</v>
      </c>
      <c r="R21" s="4" t="str">
        <f>IF(R9&gt;UnosPodataka!$M$18,"",-VLOOKUP(R9,Annuity!$B$13:$E$32,3,FALSE))</f>
        <v/>
      </c>
      <c r="S21" s="4" t="str">
        <f>IF(S9&gt;UnosPodataka!$M$18,"",-VLOOKUP(S9,Annuity!$B$13:$E$32,3,FALSE))</f>
        <v/>
      </c>
      <c r="T21" s="4" t="str">
        <f>IF(T9&gt;UnosPodataka!$M$18,"",-VLOOKUP(T9,Annuity!$B$13:$E$32,3,FALSE))</f>
        <v/>
      </c>
      <c r="U21" s="4" t="str">
        <f>IF(U9&gt;UnosPodataka!$M$18,"",-VLOOKUP(U9,Annuity!$B$13:$E$32,3,FALSE))</f>
        <v/>
      </c>
      <c r="V21" s="4" t="str">
        <f>IF(V9&gt;UnosPodataka!$M$18,"",-VLOOKUP(V9,Annuity!$B$13:$E$32,3,FALSE))</f>
        <v/>
      </c>
      <c r="W21" s="4" t="str">
        <f>IF(W9&gt;UnosPodataka!$M$18,"",-VLOOKUP(W9,Annuity!$B$13:$E$32,3,FALSE))</f>
        <v/>
      </c>
      <c r="X21" s="4" t="str">
        <f>IF(X9&gt;UnosPodataka!$M$18,"",-VLOOKUP(X9,Annuity!$B$13:$E$32,3,FALSE))</f>
        <v/>
      </c>
      <c r="Y21" s="4" t="str">
        <f>IF(Y9&gt;UnosPodataka!$M$18,"",-VLOOKUP(Y9,Annuity!$B$13:$E$32,3,FALSE))</f>
        <v/>
      </c>
    </row>
    <row r="22" spans="1:25" x14ac:dyDescent="0.25">
      <c r="A22" s="38" t="s">
        <v>167</v>
      </c>
      <c r="B22" s="38"/>
      <c r="C22" s="38"/>
      <c r="D22" s="38"/>
      <c r="F22" s="4">
        <f>IF(F21="",0,IF(F9&gt;UnosPodataka!$M$18,"",VLOOKUP(F9,Annuity!$B$13:$E$32,4,FALSE)+VLOOKUP(F9,Annuity!$B$13:$E$32,3,FALSE)))</f>
        <v>-586.74519553098003</v>
      </c>
      <c r="G22" s="4">
        <f>IF(G21="",0,IF(G9&gt;UnosPodataka!$M$18,"",VLOOKUP(G9,Annuity!$B$13:$E$32,4,FALSE)+VLOOKUP(G9,Annuity!$B$13:$E$32,3,FALSE)))</f>
        <v>-657.15461899469756</v>
      </c>
      <c r="H22" s="4">
        <f>IF(H21="",0,IF(H9&gt;UnosPodataka!$M$18,"",VLOOKUP(H9,Annuity!$B$13:$E$32,4,FALSE)+VLOOKUP(H9,Annuity!$B$13:$E$32,3,FALSE)))</f>
        <v>-736.01317327406127</v>
      </c>
      <c r="I22" s="4">
        <f>IF(I21="",0,IF(I9&gt;UnosPodataka!$M$18,"",VLOOKUP(I9,Annuity!$B$13:$E$32,4,FALSE)+VLOOKUP(I9,Annuity!$B$13:$E$32,3,FALSE)))</f>
        <v>-824.33475406694856</v>
      </c>
      <c r="J22" s="4">
        <f>IF(J21="",0,IF(J9&gt;UnosPodataka!$M$18,"",VLOOKUP(J9,Annuity!$B$13:$E$32,4,FALSE)+VLOOKUP(J9,Annuity!$B$13:$E$32,3,FALSE)))</f>
        <v>-923.25492455498215</v>
      </c>
      <c r="K22" s="4">
        <f>IF(K21="",0,IF(K9&gt;UnosPodataka!$M$18,"",VLOOKUP(K9,Annuity!$B$13:$E$32,4,FALSE)+VLOOKUP(K9,Annuity!$B$13:$E$32,3,FALSE)))</f>
        <v>-1034.04551550158</v>
      </c>
      <c r="L22" s="4">
        <f>IF(L21="",0,IF(L9&gt;UnosPodataka!$M$18,"",VLOOKUP(L9,Annuity!$B$13:$E$32,4,FALSE)+VLOOKUP(L9,Annuity!$B$13:$E$32,3,FALSE)))</f>
        <v>-1158.1309773617695</v>
      </c>
      <c r="M22" s="4">
        <f>IF(M21="",0,IF(M9&gt;UnosPodataka!$M$18,"",VLOOKUP(M9,Annuity!$B$13:$E$32,4,FALSE)+VLOOKUP(M9,Annuity!$B$13:$E$32,3,FALSE)))</f>
        <v>-1297.1066946451817</v>
      </c>
      <c r="N22" s="4">
        <f>IF(N21="",0,IF(N9&gt;UnosPodataka!$M$18,"",VLOOKUP(N9,Annuity!$B$13:$E$32,4,FALSE)+VLOOKUP(N9,Annuity!$B$13:$E$32,3,FALSE)))</f>
        <v>-1452.7594980026033</v>
      </c>
      <c r="O22" s="4">
        <f>IF(O21="",0,IF(O9&gt;UnosPodataka!$M$18,"",VLOOKUP(O9,Annuity!$B$13:$E$32,4,FALSE)+VLOOKUP(O9,Annuity!$B$13:$E$32,3,FALSE)))</f>
        <v>-1627.0906377629158</v>
      </c>
      <c r="P22" s="4">
        <f>IF(P21="",0,IF(P9&gt;UnosPodataka!$M$18,"",VLOOKUP(P9,Annuity!$B$13:$E$32,4,FALSE)+VLOOKUP(P9,Annuity!$B$13:$E$32,3,FALSE)))</f>
        <v>-1822.3415142944659</v>
      </c>
      <c r="Q22" s="4">
        <f>IF(Q21="",0,IF(Q9&gt;UnosPodataka!$M$18,"",VLOOKUP(Q9,Annuity!$B$13:$E$32,4,FALSE)+VLOOKUP(Q9,Annuity!$B$13:$E$32,3,FALSE)))</f>
        <v>-2041.0224960098017</v>
      </c>
      <c r="R22" s="4">
        <f>IF(R21="",0,IF(R9&gt;UnosPodataka!$M$18,"",VLOOKUP(R9,Annuity!$B$13:$E$32,4,FALSE)+VLOOKUP(R9,Annuity!$B$13:$E$32,3,FALSE)))</f>
        <v>0</v>
      </c>
      <c r="S22" s="4">
        <f>IF(S21="",0,IF(S9&gt;UnosPodataka!$M$18,"",VLOOKUP(S9,Annuity!$B$13:$E$32,4,FALSE)+VLOOKUP(S9,Annuity!$B$13:$E$32,3,FALSE)))</f>
        <v>0</v>
      </c>
      <c r="T22" s="4">
        <f>IF(T21="",0,IF(T9&gt;UnosPodataka!$M$18,"",VLOOKUP(T9,Annuity!$B$13:$E$32,4,FALSE)+VLOOKUP(T9,Annuity!$B$13:$E$32,3,FALSE)))</f>
        <v>0</v>
      </c>
      <c r="U22" s="4">
        <f>IF(U21="",0,IF(U9&gt;UnosPodataka!$M$18,"",VLOOKUP(U9,Annuity!$B$13:$E$32,4,FALSE)+VLOOKUP(U9,Annuity!$B$13:$E$32,3,FALSE)))</f>
        <v>0</v>
      </c>
      <c r="V22" s="4">
        <f>IF(V21="",0,IF(V9&gt;UnosPodataka!$M$18,"",VLOOKUP(V9,Annuity!$B$13:$E$32,4,FALSE)+VLOOKUP(V9,Annuity!$B$13:$E$32,3,FALSE)))</f>
        <v>0</v>
      </c>
      <c r="W22" s="4">
        <f>IF(W21="",0,IF(W9&gt;UnosPodataka!$M$18,"",VLOOKUP(W9,Annuity!$B$13:$E$32,4,FALSE)+VLOOKUP(W9,Annuity!$B$13:$E$32,3,FALSE)))</f>
        <v>0</v>
      </c>
      <c r="X22" s="4">
        <f>IF(X21="",0,IF(X9&gt;UnosPodataka!$M$18,"",VLOOKUP(X9,Annuity!$B$13:$E$32,4,FALSE)+VLOOKUP(X9,Annuity!$B$13:$E$32,3,FALSE)))</f>
        <v>0</v>
      </c>
      <c r="Y22" s="4">
        <f>IF(Y21="",0,IF(Y9&gt;UnosPodataka!$M$18,"",VLOOKUP(Y9,Annuity!$B$13:$E$32,4,FALSE)+VLOOKUP(Y9,Annuity!$B$13:$E$32,3,FALSE)))</f>
        <v>0</v>
      </c>
    </row>
    <row r="23" spans="1:25" x14ac:dyDescent="0.25">
      <c r="A23" s="74" t="s">
        <v>117</v>
      </c>
      <c r="B23" s="74"/>
      <c r="C23" s="74"/>
      <c r="D23" s="74"/>
      <c r="F23" s="4">
        <f>IF(F9&lt;&gt;"",-UnosPodataka!$M$9,"")</f>
        <v>-100</v>
      </c>
      <c r="G23" s="4">
        <f>IF(G9&lt;&gt;"",-UnosPodataka!$M$9,"")</f>
        <v>-100</v>
      </c>
      <c r="H23" s="4">
        <f>IF(H9&lt;&gt;"",-UnosPodataka!$M$9,"")</f>
        <v>-100</v>
      </c>
      <c r="I23" s="4">
        <f>IF(I9&lt;&gt;"",-UnosPodataka!$M$9,"")</f>
        <v>-100</v>
      </c>
      <c r="J23" s="4">
        <f>IF(J9&lt;&gt;"",-UnosPodataka!$M$9,"")</f>
        <v>-100</v>
      </c>
      <c r="K23" s="4">
        <f>IF(K9&lt;&gt;"",-UnosPodataka!$M$9,"")</f>
        <v>-100</v>
      </c>
      <c r="L23" s="4">
        <f>IF(L9&lt;&gt;"",-UnosPodataka!$M$9,"")</f>
        <v>-100</v>
      </c>
      <c r="M23" s="4">
        <f>IF(M9&lt;&gt;"",-UnosPodataka!$M$9,"")</f>
        <v>-100</v>
      </c>
      <c r="N23" s="4">
        <f>IF(N9&lt;&gt;"",-UnosPodataka!$M$9,"")</f>
        <v>-100</v>
      </c>
      <c r="O23" s="4">
        <f>IF(O9&lt;&gt;"",-UnosPodataka!$M$9,"")</f>
        <v>-100</v>
      </c>
      <c r="P23" s="4">
        <f>IF(P9&lt;&gt;"",-UnosPodataka!$M$9,"")</f>
        <v>-100</v>
      </c>
      <c r="Q23" s="4">
        <f>IF(Q9&lt;&gt;"",-UnosPodataka!$M$9,"")</f>
        <v>-100</v>
      </c>
      <c r="R23" s="4">
        <f>IF(R9&lt;&gt;"",-UnosPodataka!$M$9,"")</f>
        <v>-100</v>
      </c>
      <c r="S23" s="4">
        <f>IF(S9&lt;&gt;"",-UnosPodataka!$M$9,"")</f>
        <v>-100</v>
      </c>
      <c r="T23" s="4">
        <f>IF(T9&lt;&gt;"",-UnosPodataka!$M$9,"")</f>
        <v>-100</v>
      </c>
      <c r="U23" s="4">
        <f>IF(U9&lt;&gt;"",-UnosPodataka!$M$9,"")</f>
        <v>-100</v>
      </c>
      <c r="V23" s="4">
        <f>IF(V9&lt;&gt;"",-UnosPodataka!$M$9,"")</f>
        <v>-100</v>
      </c>
      <c r="W23" s="4">
        <f>IF(W9&lt;&gt;"",-UnosPodataka!$M$9,"")</f>
        <v>-100</v>
      </c>
      <c r="X23" s="4">
        <f>IF(X9&lt;&gt;"",-UnosPodataka!$M$9,"")</f>
        <v>-100</v>
      </c>
      <c r="Y23" s="4">
        <f>IF(Y9&lt;&gt;"",-UnosPodataka!$M$9,"")</f>
        <v>-100</v>
      </c>
    </row>
    <row r="24" spans="1:25" x14ac:dyDescent="0.25">
      <c r="A24" s="74" t="s">
        <v>118</v>
      </c>
      <c r="B24" s="74"/>
      <c r="C24" s="74"/>
      <c r="D24" s="74"/>
      <c r="F24" s="4">
        <f>IF(F9&lt;&gt;"",-Investment*UnosPodataka!$M$11,"")</f>
        <v>0</v>
      </c>
      <c r="G24" s="4">
        <f>IF(G9&lt;&gt;"",-Investment*UnosPodataka!$M$11,"")</f>
        <v>0</v>
      </c>
      <c r="H24" s="4">
        <f>IF(H9&lt;&gt;"",-Investment*UnosPodataka!$M$11,"")</f>
        <v>0</v>
      </c>
      <c r="I24" s="4">
        <f>IF(I9&lt;&gt;"",-Investment*UnosPodataka!$M$11,"")</f>
        <v>0</v>
      </c>
      <c r="J24" s="4">
        <f>IF(J9&lt;&gt;"",-Investment*UnosPodataka!$M$11,"")</f>
        <v>0</v>
      </c>
      <c r="K24" s="4">
        <f>IF(K9&lt;&gt;"",-Investment*UnosPodataka!$M$11,"")</f>
        <v>0</v>
      </c>
      <c r="L24" s="4">
        <f>IF(L9&lt;&gt;"",-Investment*UnosPodataka!$M$11,"")</f>
        <v>0</v>
      </c>
      <c r="M24" s="4">
        <f>IF(M9&lt;&gt;"",-Investment*UnosPodataka!$M$11,"")</f>
        <v>0</v>
      </c>
      <c r="N24" s="4">
        <f>IF(N9&lt;&gt;"",-Investment*UnosPodataka!$M$11,"")</f>
        <v>0</v>
      </c>
      <c r="O24" s="4">
        <f>IF(O9&lt;&gt;"",-Investment*UnosPodataka!$M$11,"")</f>
        <v>0</v>
      </c>
      <c r="P24" s="4">
        <f>IF(P9&lt;&gt;"",-Investment*UnosPodataka!$M$11,"")</f>
        <v>0</v>
      </c>
      <c r="Q24" s="4">
        <f>IF(Q9&lt;&gt;"",-Investment*UnosPodataka!$M$11,"")</f>
        <v>0</v>
      </c>
      <c r="R24" s="4">
        <f>IF(R9&lt;&gt;"",-Investment*UnosPodataka!$M$11,"")</f>
        <v>0</v>
      </c>
      <c r="S24" s="4">
        <f>IF(S9&lt;&gt;"",-Investment*UnosPodataka!$M$11,"")</f>
        <v>0</v>
      </c>
      <c r="T24" s="4">
        <f>IF(T9&lt;&gt;"",-Investment*UnosPodataka!$M$11,"")</f>
        <v>0</v>
      </c>
      <c r="U24" s="4">
        <f>IF(U9&lt;&gt;"",-Investment*UnosPodataka!$M$11,"")</f>
        <v>0</v>
      </c>
      <c r="V24" s="4">
        <f>IF(V9&lt;&gt;"",-Investment*UnosPodataka!$M$11,"")</f>
        <v>0</v>
      </c>
      <c r="W24" s="4">
        <f>IF(W9&lt;&gt;"",-Investment*UnosPodataka!$M$11,"")</f>
        <v>0</v>
      </c>
      <c r="X24" s="4">
        <f>IF(X9&lt;&gt;"",-Investment*UnosPodataka!$M$11,"")</f>
        <v>0</v>
      </c>
      <c r="Y24" s="4">
        <f>IF(Y9&lt;&gt;"",-Investment*UnosPodataka!$M$11,"")</f>
        <v>0</v>
      </c>
    </row>
    <row r="25" spans="1:25" x14ac:dyDescent="0.25">
      <c r="A25" s="74" t="s">
        <v>12</v>
      </c>
      <c r="B25" s="74"/>
      <c r="C25" s="74"/>
      <c r="D25" s="74"/>
      <c r="F25" s="4" t="str">
        <f>IF(F9&lt;&gt;"","","")</f>
        <v/>
      </c>
      <c r="G25" s="4" t="str">
        <f t="shared" ref="G25:Y25" si="1">IF(G9&lt;&gt;"","","")</f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  <c r="P25" s="4" t="str">
        <f t="shared" si="1"/>
        <v/>
      </c>
      <c r="Q25" s="4" t="str">
        <f t="shared" si="1"/>
        <v/>
      </c>
      <c r="R25" s="4" t="str">
        <f t="shared" si="1"/>
        <v/>
      </c>
      <c r="S25" s="4" t="str">
        <f t="shared" si="1"/>
        <v/>
      </c>
      <c r="T25" s="4" t="str">
        <f t="shared" si="1"/>
        <v/>
      </c>
      <c r="U25" s="4" t="str">
        <f t="shared" si="1"/>
        <v/>
      </c>
      <c r="V25" s="4" t="str">
        <f t="shared" si="1"/>
        <v/>
      </c>
      <c r="W25" s="4" t="str">
        <f t="shared" si="1"/>
        <v/>
      </c>
      <c r="X25" s="4" t="str">
        <f t="shared" si="1"/>
        <v/>
      </c>
      <c r="Y25" s="4" t="str">
        <f t="shared" si="1"/>
        <v/>
      </c>
    </row>
    <row r="26" spans="1:25" x14ac:dyDescent="0.25">
      <c r="A26" s="74" t="s">
        <v>168</v>
      </c>
      <c r="B26" s="74"/>
      <c r="C26" s="74"/>
      <c r="D26" s="74"/>
      <c r="F26" s="4">
        <f>IF(F9&lt;&gt;"",-Investment*UnosPodataka!$M$12,"")</f>
        <v>-654</v>
      </c>
      <c r="G26" s="4">
        <f>IF(G9&lt;&gt;"",-Investment*UnosPodataka!$M$12,"")</f>
        <v>-654</v>
      </c>
      <c r="H26" s="4">
        <f>IF(H9&lt;&gt;"",-Investment*UnosPodataka!$M$12,"")</f>
        <v>-654</v>
      </c>
      <c r="I26" s="4">
        <f>IF(I9&lt;&gt;"",-Investment*UnosPodataka!$M$12,"")</f>
        <v>-654</v>
      </c>
      <c r="J26" s="4">
        <f>IF(J9&lt;&gt;"",-Investment*UnosPodataka!$M$12,"")</f>
        <v>-654</v>
      </c>
      <c r="K26" s="4">
        <f>IF(K9&lt;&gt;"",-Investment*UnosPodataka!$M$12,"")</f>
        <v>-654</v>
      </c>
      <c r="L26" s="4">
        <f>IF(L9&lt;&gt;"",-Investment*UnosPodataka!$M$12,"")</f>
        <v>-654</v>
      </c>
      <c r="M26" s="4">
        <f>IF(M9&lt;&gt;"",-Investment*UnosPodataka!$M$12,"")</f>
        <v>-654</v>
      </c>
      <c r="N26" s="4">
        <f>IF(N9&lt;&gt;"",-Investment*UnosPodataka!$M$12,"")</f>
        <v>-654</v>
      </c>
      <c r="O26" s="4">
        <f>IF(O9&lt;&gt;"",-Investment*UnosPodataka!$M$12,"")</f>
        <v>-654</v>
      </c>
      <c r="P26" s="4">
        <f>IF(P9&lt;&gt;"",-Investment*UnosPodataka!$M$12,"")</f>
        <v>-654</v>
      </c>
      <c r="Q26" s="4">
        <f>IF(Q9&lt;&gt;"",-Investment*UnosPodataka!$M$12,"")</f>
        <v>-654</v>
      </c>
      <c r="R26" s="4">
        <f>IF(R9&lt;&gt;"",-Investment*UnosPodataka!$M$12,"")</f>
        <v>-654</v>
      </c>
      <c r="S26" s="4">
        <f>IF(S9&lt;&gt;"",-Investment*UnosPodataka!$M$12,"")</f>
        <v>-654</v>
      </c>
      <c r="T26" s="4">
        <f>IF(T9&lt;&gt;"",-Investment*UnosPodataka!$M$12,"")</f>
        <v>-654</v>
      </c>
      <c r="U26" s="4">
        <f>IF(U9&lt;&gt;"",-Investment*UnosPodataka!$M$12,"")</f>
        <v>-654</v>
      </c>
      <c r="V26" s="4">
        <f>IF(V9&lt;&gt;"",-Investment*UnosPodataka!$M$12,"")</f>
        <v>-654</v>
      </c>
      <c r="W26" s="4">
        <f>IF(W9&lt;&gt;"",-Investment*UnosPodataka!$M$12,"")</f>
        <v>-654</v>
      </c>
      <c r="X26" s="4">
        <f>IF(X9&lt;&gt;"",-Investment*UnosPodataka!$M$12,"")</f>
        <v>-654</v>
      </c>
      <c r="Y26" s="4">
        <f>IF(Y9&lt;&gt;"",-Investment*UnosPodataka!$M$12,"")</f>
        <v>-654</v>
      </c>
    </row>
    <row r="27" spans="1:25" x14ac:dyDescent="0.25">
      <c r="A27" s="74" t="s">
        <v>126</v>
      </c>
      <c r="B27" s="74"/>
      <c r="C27" s="74"/>
      <c r="D27" s="74"/>
      <c r="F27" s="4">
        <f>IF(F9&lt;&gt;"",-(1-UnosPodataka!$M$10)*FinaIndicators!F17,"")</f>
        <v>-1075.2978309801513</v>
      </c>
      <c r="G27" s="4">
        <f>IF(G9&lt;&gt;"",-(1-UnosPodataka!$M$10)*FinaIndicators!G17,"")</f>
        <v>-1075.2978309801513</v>
      </c>
      <c r="H27" s="4">
        <f>IF(H9&lt;&gt;"",-(1-UnosPodataka!$M$10)*FinaIndicators!H17,"")</f>
        <v>-1075.2978309801513</v>
      </c>
      <c r="I27" s="4">
        <f>IF(I9&lt;&gt;"",-(1-UnosPodataka!$M$10)*FinaIndicators!I17,"")</f>
        <v>-1075.2978309801513</v>
      </c>
      <c r="J27" s="4">
        <f>IF(J9&lt;&gt;"",-(1-UnosPodataka!$M$10)*FinaIndicators!J17,"")</f>
        <v>-1075.2978309801513</v>
      </c>
      <c r="K27" s="4">
        <f>IF(K9&lt;&gt;"",-(1-UnosPodataka!$M$10)*FinaIndicators!K17,"")</f>
        <v>-1075.2978309801513</v>
      </c>
      <c r="L27" s="4">
        <f>IF(L9&lt;&gt;"",-(1-UnosPodataka!$M$10)*FinaIndicators!L17,"")</f>
        <v>-1075.2978309801513</v>
      </c>
      <c r="M27" s="4">
        <f>IF(M9&lt;&gt;"",-(1-UnosPodataka!$M$10)*FinaIndicators!M17,"")</f>
        <v>-1075.2978309801513</v>
      </c>
      <c r="N27" s="4">
        <f>IF(N9&lt;&gt;"",-(1-UnosPodataka!$M$10)*FinaIndicators!N17,"")</f>
        <v>-1075.2978309801513</v>
      </c>
      <c r="O27" s="4">
        <f>IF(O9&lt;&gt;"",-(1-UnosPodataka!$M$10)*FinaIndicators!O17,"")</f>
        <v>-1075.2978309801513</v>
      </c>
      <c r="P27" s="4">
        <f>IF(P9&lt;&gt;"",-(1-UnosPodataka!$M$10)*FinaIndicators!P17,"")</f>
        <v>-1075.2978309801513</v>
      </c>
      <c r="Q27" s="4">
        <f>IF(Q9&lt;&gt;"",-(1-UnosPodataka!$M$10)*FinaIndicators!Q17,"")</f>
        <v>-1075.2978309801513</v>
      </c>
      <c r="R27" s="4">
        <f>IF(R9&lt;&gt;"",-(1-UnosPodataka!$M$10)*FinaIndicators!R17,"")</f>
        <v>-1075.2978309801513</v>
      </c>
      <c r="S27" s="4">
        <f>IF(S9&lt;&gt;"",-(1-UnosPodataka!$M$10)*FinaIndicators!S17,"")</f>
        <v>-1075.2978309801513</v>
      </c>
      <c r="T27" s="4">
        <f>IF(T9&lt;&gt;"",-(1-UnosPodataka!$M$10)*FinaIndicators!T17,"")</f>
        <v>-1075.2978309801513</v>
      </c>
      <c r="U27" s="4">
        <f>IF(U9&lt;&gt;"",-(1-UnosPodataka!$M$10)*FinaIndicators!U17,"")</f>
        <v>-1075.2978309801513</v>
      </c>
      <c r="V27" s="4">
        <f>IF(V9&lt;&gt;"",-(1-UnosPodataka!$M$10)*FinaIndicators!V17,"")</f>
        <v>-1075.2978309801513</v>
      </c>
      <c r="W27" s="4">
        <f>IF(W9&lt;&gt;"",-(1-UnosPodataka!$M$10)*FinaIndicators!W17,"")</f>
        <v>-1075.2978309801513</v>
      </c>
      <c r="X27" s="4">
        <f>IF(X9&lt;&gt;"",-(1-UnosPodataka!$M$10)*FinaIndicators!X17,"")</f>
        <v>-1075.2978309801513</v>
      </c>
      <c r="Y27" s="4">
        <f>IF(Y9&lt;&gt;"",-(1-UnosPodataka!$M$10)*FinaIndicators!Y17,"")</f>
        <v>-1075.2978309801513</v>
      </c>
    </row>
    <row r="28" spans="1:25" x14ac:dyDescent="0.25">
      <c r="A28" s="80" t="s">
        <v>119</v>
      </c>
      <c r="B28" s="80"/>
      <c r="C28" s="80"/>
      <c r="D28" s="80"/>
      <c r="E28" s="39"/>
      <c r="F28" s="40">
        <f>IF(F9&lt;&gt;"",SUM(F21:F27),"")</f>
        <v>-4115.2430265111316</v>
      </c>
      <c r="G28" s="40">
        <f t="shared" ref="G28:Y28" si="2">IF(G9&lt;&gt;"",SUM(G21:G27),"")</f>
        <v>-4115.2430265111316</v>
      </c>
      <c r="H28" s="40">
        <f t="shared" si="2"/>
        <v>-4115.2430265111316</v>
      </c>
      <c r="I28" s="40">
        <f t="shared" si="2"/>
        <v>-4115.2430265111316</v>
      </c>
      <c r="J28" s="40">
        <f t="shared" si="2"/>
        <v>-4115.2430265111316</v>
      </c>
      <c r="K28" s="40">
        <f t="shared" si="2"/>
        <v>-4115.2430265111316</v>
      </c>
      <c r="L28" s="40">
        <f t="shared" si="2"/>
        <v>-4115.2430265111316</v>
      </c>
      <c r="M28" s="40">
        <f t="shared" si="2"/>
        <v>-4115.2430265111316</v>
      </c>
      <c r="N28" s="40">
        <f t="shared" si="2"/>
        <v>-4115.2430265111316</v>
      </c>
      <c r="O28" s="40">
        <f t="shared" si="2"/>
        <v>-4115.2430265111316</v>
      </c>
      <c r="P28" s="40">
        <f t="shared" si="2"/>
        <v>-4115.2430265111316</v>
      </c>
      <c r="Q28" s="40">
        <f t="shared" si="2"/>
        <v>-4115.2430265111316</v>
      </c>
      <c r="R28" s="40">
        <f t="shared" si="2"/>
        <v>-1829.2978309801513</v>
      </c>
      <c r="S28" s="40">
        <f t="shared" si="2"/>
        <v>-1829.2978309801513</v>
      </c>
      <c r="T28" s="40">
        <f t="shared" si="2"/>
        <v>-1829.2978309801513</v>
      </c>
      <c r="U28" s="40">
        <f t="shared" si="2"/>
        <v>-1829.2978309801513</v>
      </c>
      <c r="V28" s="40">
        <f t="shared" si="2"/>
        <v>-1829.2978309801513</v>
      </c>
      <c r="W28" s="40">
        <f t="shared" si="2"/>
        <v>-1829.2978309801513</v>
      </c>
      <c r="X28" s="40">
        <f t="shared" si="2"/>
        <v>-1829.2978309801513</v>
      </c>
      <c r="Y28" s="40">
        <f t="shared" si="2"/>
        <v>-1829.2978309801513</v>
      </c>
    </row>
    <row r="30" spans="1:25" x14ac:dyDescent="0.25">
      <c r="A30" t="s">
        <v>169</v>
      </c>
      <c r="E30" s="4">
        <f>-SUM(E11:E13)</f>
        <v>-26160</v>
      </c>
      <c r="F30" s="4">
        <f>+F28-F26-F33</f>
        <v>-4544.9150983343361</v>
      </c>
      <c r="G30" s="4">
        <f t="shared" ref="G30:Y30" si="3">+G28-G26-G33</f>
        <v>-4555.4765118538935</v>
      </c>
      <c r="H30" s="4">
        <f t="shared" si="3"/>
        <v>-4567.3052949957982</v>
      </c>
      <c r="I30" s="4">
        <f t="shared" si="3"/>
        <v>-4580.5535321147318</v>
      </c>
      <c r="J30" s="4">
        <f t="shared" si="3"/>
        <v>-4595.3915576879363</v>
      </c>
      <c r="K30" s="4">
        <f t="shared" si="3"/>
        <v>-4612.0101463299261</v>
      </c>
      <c r="L30" s="4">
        <f t="shared" si="3"/>
        <v>-4630.6229656089545</v>
      </c>
      <c r="M30" s="4">
        <f t="shared" si="3"/>
        <v>-4651.469323201467</v>
      </c>
      <c r="N30" s="4">
        <f t="shared" si="3"/>
        <v>-4674.8172437050798</v>
      </c>
      <c r="O30" s="4">
        <f t="shared" si="3"/>
        <v>-4700.9669146691267</v>
      </c>
      <c r="P30" s="4">
        <f t="shared" si="3"/>
        <v>-4730.2545461488589</v>
      </c>
      <c r="Q30" s="4">
        <f t="shared" si="3"/>
        <v>-4763.056693406159</v>
      </c>
      <c r="R30" s="4">
        <f t="shared" si="3"/>
        <v>-2513.8499028033557</v>
      </c>
      <c r="S30" s="4">
        <f t="shared" si="3"/>
        <v>-2513.8499028033557</v>
      </c>
      <c r="T30" s="4">
        <f t="shared" si="3"/>
        <v>-2513.8499028033557</v>
      </c>
      <c r="U30" s="4">
        <f t="shared" si="3"/>
        <v>-2513.8499028033557</v>
      </c>
      <c r="V30" s="4">
        <f t="shared" si="3"/>
        <v>-2513.8499028033557</v>
      </c>
      <c r="W30" s="4">
        <f t="shared" si="3"/>
        <v>-2513.8499028033557</v>
      </c>
      <c r="X30" s="4">
        <f t="shared" si="3"/>
        <v>-2513.8499028033557</v>
      </c>
      <c r="Y30" s="4">
        <f t="shared" si="3"/>
        <v>-2513.8499028033557</v>
      </c>
    </row>
    <row r="31" spans="1:25" x14ac:dyDescent="0.25">
      <c r="A31" s="67" t="s">
        <v>170</v>
      </c>
      <c r="B31" s="67"/>
      <c r="C31" s="67"/>
      <c r="D31" s="67"/>
      <c r="F31" s="4">
        <f>IF(F9&lt;&gt;"",F18+F28-F22,"")</f>
        <v>7224.4804788213642</v>
      </c>
      <c r="G31" s="4">
        <f t="shared" ref="G31:Y31" si="4">IF(G9&lt;&gt;"",G18+G28-G22,"")</f>
        <v>7294.8899022850819</v>
      </c>
      <c r="H31" s="4">
        <f t="shared" si="4"/>
        <v>7373.7484565644454</v>
      </c>
      <c r="I31" s="4">
        <f t="shared" si="4"/>
        <v>7462.0700373573327</v>
      </c>
      <c r="J31" s="4">
        <f t="shared" si="4"/>
        <v>7560.990207845367</v>
      </c>
      <c r="K31" s="4">
        <f t="shared" si="4"/>
        <v>7671.7807987919641</v>
      </c>
      <c r="L31" s="4">
        <f t="shared" si="4"/>
        <v>7795.8662606521539</v>
      </c>
      <c r="M31" s="4">
        <f t="shared" si="4"/>
        <v>7934.8419779355663</v>
      </c>
      <c r="N31" s="4">
        <f t="shared" si="4"/>
        <v>8090.4947812929877</v>
      </c>
      <c r="O31" s="4">
        <f t="shared" si="4"/>
        <v>8264.8259210532997</v>
      </c>
      <c r="P31" s="4">
        <f t="shared" si="4"/>
        <v>8460.0767975848503</v>
      </c>
      <c r="Q31" s="4">
        <f t="shared" si="4"/>
        <v>8678.7577793001856</v>
      </c>
      <c r="R31" s="4">
        <f t="shared" si="4"/>
        <v>8923.6804788213649</v>
      </c>
      <c r="S31" s="4">
        <f t="shared" si="4"/>
        <v>8923.6804788213649</v>
      </c>
      <c r="T31" s="4">
        <f t="shared" si="4"/>
        <v>8923.6804788213649</v>
      </c>
      <c r="U31" s="4">
        <f t="shared" si="4"/>
        <v>8923.6804788213649</v>
      </c>
      <c r="V31" s="4">
        <f t="shared" si="4"/>
        <v>8923.6804788213649</v>
      </c>
      <c r="W31" s="4">
        <f t="shared" si="4"/>
        <v>8923.6804788213649</v>
      </c>
      <c r="X31" s="4">
        <f t="shared" si="4"/>
        <v>8923.6804788213649</v>
      </c>
      <c r="Y31" s="4">
        <f t="shared" si="4"/>
        <v>8923.6804788213649</v>
      </c>
    </row>
    <row r="32" spans="1:25" x14ac:dyDescent="0.25">
      <c r="A32" s="79"/>
      <c r="B32" s="79"/>
      <c r="C32" s="79"/>
      <c r="D32" s="79"/>
    </row>
    <row r="33" spans="1:25" x14ac:dyDescent="0.25">
      <c r="A33" s="74" t="s">
        <v>120</v>
      </c>
      <c r="B33" s="74"/>
      <c r="C33" s="74"/>
      <c r="D33" s="74"/>
      <c r="F33" s="4">
        <f>IF(F9&lt;&gt;"",IF(F31&gt;0,F31*VAT,0),"")</f>
        <v>1083.6720718232045</v>
      </c>
      <c r="G33" s="4">
        <f t="shared" ref="G33:Y33" si="5">IF(G9&lt;&gt;"",IF(G31&gt;0,G31*VAT,0),"")</f>
        <v>1094.2334853427622</v>
      </c>
      <c r="H33" s="4">
        <f t="shared" si="5"/>
        <v>1106.0622684846667</v>
      </c>
      <c r="I33" s="4">
        <f t="shared" si="5"/>
        <v>1119.3105056035999</v>
      </c>
      <c r="J33" s="4">
        <f t="shared" si="5"/>
        <v>1134.1485311768049</v>
      </c>
      <c r="K33" s="4">
        <f t="shared" si="5"/>
        <v>1150.7671198187945</v>
      </c>
      <c r="L33" s="4">
        <f t="shared" si="5"/>
        <v>1169.3799390978231</v>
      </c>
      <c r="M33" s="4">
        <f t="shared" si="5"/>
        <v>1190.2262966903349</v>
      </c>
      <c r="N33" s="4">
        <f t="shared" si="5"/>
        <v>1213.574217193948</v>
      </c>
      <c r="O33" s="4">
        <f t="shared" si="5"/>
        <v>1239.7238881579949</v>
      </c>
      <c r="P33" s="4">
        <f t="shared" si="5"/>
        <v>1269.0115196377276</v>
      </c>
      <c r="Q33" s="4">
        <f t="shared" si="5"/>
        <v>1301.8136668950278</v>
      </c>
      <c r="R33" s="4">
        <f t="shared" si="5"/>
        <v>1338.5520718232046</v>
      </c>
      <c r="S33" s="4">
        <f t="shared" si="5"/>
        <v>1338.5520718232046</v>
      </c>
      <c r="T33" s="4">
        <f t="shared" si="5"/>
        <v>1338.5520718232046</v>
      </c>
      <c r="U33" s="4">
        <f t="shared" si="5"/>
        <v>1338.5520718232046</v>
      </c>
      <c r="V33" s="4">
        <f t="shared" si="5"/>
        <v>1338.5520718232046</v>
      </c>
      <c r="W33" s="4">
        <f t="shared" si="5"/>
        <v>1338.5520718232046</v>
      </c>
      <c r="X33" s="4">
        <f t="shared" si="5"/>
        <v>1338.5520718232046</v>
      </c>
      <c r="Y33" s="4">
        <f t="shared" si="5"/>
        <v>1338.5520718232046</v>
      </c>
    </row>
    <row r="34" spans="1:25" x14ac:dyDescent="0.25">
      <c r="A34" s="67" t="s">
        <v>121</v>
      </c>
      <c r="B34" s="67"/>
      <c r="C34" s="67"/>
      <c r="D34" s="67"/>
      <c r="E34" s="4"/>
      <c r="F34" s="4">
        <f>IF(F9&lt;&gt;"",F31-F33,"")</f>
        <v>6140.8084069981596</v>
      </c>
      <c r="G34" s="4">
        <f t="shared" ref="G34:Y34" si="6">IF(G9&lt;&gt;"",G31-G33,"")</f>
        <v>6200.65641694232</v>
      </c>
      <c r="H34" s="4">
        <f t="shared" si="6"/>
        <v>6267.6861880797787</v>
      </c>
      <c r="I34" s="4">
        <f t="shared" si="6"/>
        <v>6342.7595317537325</v>
      </c>
      <c r="J34" s="4">
        <f t="shared" si="6"/>
        <v>6426.8416766685623</v>
      </c>
      <c r="K34" s="4">
        <f t="shared" si="6"/>
        <v>6521.0136789731696</v>
      </c>
      <c r="L34" s="4">
        <f t="shared" si="6"/>
        <v>6626.486321554331</v>
      </c>
      <c r="M34" s="4">
        <f t="shared" si="6"/>
        <v>6744.6156812452318</v>
      </c>
      <c r="N34" s="4">
        <f t="shared" si="6"/>
        <v>6876.9205640990394</v>
      </c>
      <c r="O34" s="4">
        <f t="shared" si="6"/>
        <v>7025.1020328953045</v>
      </c>
      <c r="P34" s="4">
        <f t="shared" si="6"/>
        <v>7191.0652779471229</v>
      </c>
      <c r="Q34" s="4">
        <f t="shared" si="6"/>
        <v>7376.9441124051573</v>
      </c>
      <c r="R34" s="4">
        <f t="shared" si="6"/>
        <v>7585.1284069981602</v>
      </c>
      <c r="S34" s="4">
        <f t="shared" si="6"/>
        <v>7585.1284069981602</v>
      </c>
      <c r="T34" s="4">
        <f t="shared" si="6"/>
        <v>7585.1284069981602</v>
      </c>
      <c r="U34" s="4">
        <f t="shared" si="6"/>
        <v>7585.1284069981602</v>
      </c>
      <c r="V34" s="4">
        <f t="shared" si="6"/>
        <v>7585.1284069981602</v>
      </c>
      <c r="W34" s="4">
        <f t="shared" si="6"/>
        <v>7585.1284069981602</v>
      </c>
      <c r="X34" s="4">
        <f t="shared" si="6"/>
        <v>7585.1284069981602</v>
      </c>
      <c r="Y34" s="4">
        <f t="shared" si="6"/>
        <v>7585.1284069981602</v>
      </c>
    </row>
    <row r="36" spans="1:25" x14ac:dyDescent="0.25">
      <c r="A36" s="42" t="s">
        <v>179</v>
      </c>
      <c r="E36" s="4">
        <f>-SUM(E11:E13)</f>
        <v>-26160</v>
      </c>
      <c r="F36" s="4">
        <f>+F18+F30-F33</f>
        <v>5124.3911396439753</v>
      </c>
      <c r="G36" s="4">
        <f t="shared" ref="G36:Y36" si="7">+G18+G30-G33</f>
        <v>5103.2683126048605</v>
      </c>
      <c r="H36" s="4">
        <f t="shared" si="7"/>
        <v>5079.610746321051</v>
      </c>
      <c r="I36" s="4">
        <f t="shared" si="7"/>
        <v>5053.114272083184</v>
      </c>
      <c r="J36" s="4">
        <f t="shared" si="7"/>
        <v>5023.438220936775</v>
      </c>
      <c r="K36" s="4">
        <f t="shared" si="7"/>
        <v>4990.2010436527953</v>
      </c>
      <c r="L36" s="4">
        <f t="shared" si="7"/>
        <v>4952.9754050947386</v>
      </c>
      <c r="M36" s="4">
        <f t="shared" si="7"/>
        <v>4911.2826899097145</v>
      </c>
      <c r="N36" s="4">
        <f t="shared" si="7"/>
        <v>4864.5868489024879</v>
      </c>
      <c r="O36" s="4">
        <f t="shared" si="7"/>
        <v>4812.2875069743941</v>
      </c>
      <c r="P36" s="4">
        <f t="shared" si="7"/>
        <v>4753.7122440149296</v>
      </c>
      <c r="Q36" s="4">
        <f t="shared" si="7"/>
        <v>4688.1079495003287</v>
      </c>
      <c r="R36" s="4">
        <f t="shared" si="7"/>
        <v>6900.5763351749547</v>
      </c>
      <c r="S36" s="4">
        <f t="shared" si="7"/>
        <v>6900.5763351749547</v>
      </c>
      <c r="T36" s="4">
        <f t="shared" si="7"/>
        <v>6900.5763351749547</v>
      </c>
      <c r="U36" s="4">
        <f t="shared" si="7"/>
        <v>6900.5763351749547</v>
      </c>
      <c r="V36" s="4">
        <f t="shared" si="7"/>
        <v>6900.5763351749547</v>
      </c>
      <c r="W36" s="4">
        <f t="shared" si="7"/>
        <v>6900.5763351749547</v>
      </c>
      <c r="X36" s="4">
        <f t="shared" si="7"/>
        <v>6900.5763351749547</v>
      </c>
      <c r="Y36" s="4">
        <f t="shared" si="7"/>
        <v>6900.5763351749547</v>
      </c>
    </row>
    <row r="37" spans="1:25" x14ac:dyDescent="0.25">
      <c r="A37" s="42" t="s">
        <v>180</v>
      </c>
      <c r="E37" s="4">
        <f>+E36</f>
        <v>-26160</v>
      </c>
      <c r="F37" s="4">
        <f>+E37+F36</f>
        <v>-21035.608860356024</v>
      </c>
      <c r="G37" s="4">
        <f t="shared" ref="G37:Y37" si="8">+F37+G36</f>
        <v>-15932.340547751162</v>
      </c>
      <c r="H37" s="4">
        <f t="shared" si="8"/>
        <v>-10852.729801430112</v>
      </c>
      <c r="I37" s="4">
        <f t="shared" si="8"/>
        <v>-5799.6155293469283</v>
      </c>
      <c r="J37" s="4">
        <f t="shared" si="8"/>
        <v>-776.17730841015327</v>
      </c>
      <c r="K37" s="4">
        <f t="shared" si="8"/>
        <v>4214.023735242642</v>
      </c>
      <c r="L37" s="4">
        <f t="shared" si="8"/>
        <v>9166.9991403373806</v>
      </c>
      <c r="M37" s="4">
        <f t="shared" si="8"/>
        <v>14078.281830247095</v>
      </c>
      <c r="N37" s="4">
        <f t="shared" si="8"/>
        <v>18942.868679149582</v>
      </c>
      <c r="O37" s="4">
        <f t="shared" si="8"/>
        <v>23755.156186123975</v>
      </c>
      <c r="P37" s="4">
        <f t="shared" si="8"/>
        <v>28508.868430138904</v>
      </c>
      <c r="Q37" s="4">
        <f t="shared" si="8"/>
        <v>33196.976379639236</v>
      </c>
      <c r="R37" s="4">
        <f t="shared" si="8"/>
        <v>40097.552714814192</v>
      </c>
      <c r="S37" s="4">
        <f t="shared" si="8"/>
        <v>46998.129049989147</v>
      </c>
      <c r="T37" s="4">
        <f t="shared" si="8"/>
        <v>53898.705385164103</v>
      </c>
      <c r="U37" s="4">
        <f t="shared" si="8"/>
        <v>60799.281720339059</v>
      </c>
      <c r="V37" s="4">
        <f t="shared" si="8"/>
        <v>67699.858055514007</v>
      </c>
      <c r="W37" s="4">
        <f t="shared" si="8"/>
        <v>74600.434390688955</v>
      </c>
      <c r="X37" s="4">
        <f t="shared" si="8"/>
        <v>81501.010725863904</v>
      </c>
      <c r="Y37" s="4">
        <f t="shared" si="8"/>
        <v>88401.587061038852</v>
      </c>
    </row>
    <row r="38" spans="1:25" x14ac:dyDescent="0.25">
      <c r="A38" s="21"/>
    </row>
    <row r="39" spans="1:25" x14ac:dyDescent="0.25">
      <c r="A39" s="42" t="s">
        <v>64</v>
      </c>
      <c r="E39" s="10">
        <f>+PomTab1!L25</f>
        <v>6.9411314984709482E-2</v>
      </c>
    </row>
    <row r="40" spans="1:25" x14ac:dyDescent="0.25">
      <c r="A40" s="42" t="s">
        <v>181</v>
      </c>
      <c r="E40" s="4">
        <f>IF(E9&lt;&gt;"",E36*(1+$E$39)^-E9,"")</f>
        <v>-26160</v>
      </c>
      <c r="F40" s="4">
        <f>IF(F9&lt;&gt;"",F36*(1+$E$39)^-F9,"")</f>
        <v>4791.7869091531384</v>
      </c>
      <c r="G40" s="4">
        <f t="shared" ref="G40:Y40" si="9">IF(G9&lt;&gt;"",G36*(1+$E$39)^-G9,"")</f>
        <v>4462.3009084691503</v>
      </c>
      <c r="H40" s="4">
        <f t="shared" si="9"/>
        <v>4153.3268405918197</v>
      </c>
      <c r="I40" s="4">
        <f t="shared" si="9"/>
        <v>3863.4920246495303</v>
      </c>
      <c r="J40" s="4">
        <f t="shared" si="9"/>
        <v>3591.5109199418594</v>
      </c>
      <c r="K40" s="4">
        <f t="shared" si="9"/>
        <v>3336.179377520667</v>
      </c>
      <c r="L40" s="4">
        <f t="shared" si="9"/>
        <v>3096.369260503363</v>
      </c>
      <c r="M40" s="4">
        <f t="shared" si="9"/>
        <v>2871.0234089783771</v>
      </c>
      <c r="N40" s="4">
        <f t="shared" si="9"/>
        <v>2659.1509269199632</v>
      </c>
      <c r="O40" s="4">
        <f t="shared" si="9"/>
        <v>2459.8227699849281</v>
      </c>
      <c r="P40" s="4">
        <f t="shared" si="9"/>
        <v>2272.1676144244739</v>
      </c>
      <c r="Q40" s="4">
        <f t="shared" si="9"/>
        <v>2095.3679886160476</v>
      </c>
      <c r="R40" s="4">
        <f t="shared" si="9"/>
        <v>2884.0533586104198</v>
      </c>
      <c r="S40" s="4">
        <f t="shared" si="9"/>
        <v>2696.8607103728436</v>
      </c>
      <c r="T40" s="4">
        <f t="shared" si="9"/>
        <v>2521.8180063967279</v>
      </c>
      <c r="U40" s="4">
        <f t="shared" si="9"/>
        <v>2358.1366412162793</v>
      </c>
      <c r="V40" s="4">
        <f t="shared" si="9"/>
        <v>2205.0791946688873</v>
      </c>
      <c r="W40" s="4">
        <f t="shared" si="9"/>
        <v>2061.9561096568495</v>
      </c>
      <c r="X40" s="4">
        <f t="shared" si="9"/>
        <v>1928.1225855426187</v>
      </c>
      <c r="Y40" s="4">
        <f t="shared" si="9"/>
        <v>1802.9756731816387</v>
      </c>
    </row>
    <row r="41" spans="1:25" x14ac:dyDescent="0.25">
      <c r="A41" s="42" t="s">
        <v>182</v>
      </c>
      <c r="E41" s="4">
        <f>+E40</f>
        <v>-26160</v>
      </c>
      <c r="F41" s="4">
        <f>+E41+F40</f>
        <v>-21368.213090846861</v>
      </c>
      <c r="G41" s="4">
        <f t="shared" ref="G41:Y41" si="10">+F41+G40</f>
        <v>-16905.91218237771</v>
      </c>
      <c r="H41" s="4">
        <f t="shared" si="10"/>
        <v>-12752.585341785889</v>
      </c>
      <c r="I41" s="4">
        <f t="shared" si="10"/>
        <v>-8889.0933171363577</v>
      </c>
      <c r="J41" s="4">
        <f t="shared" si="10"/>
        <v>-5297.5823971944983</v>
      </c>
      <c r="K41" s="4">
        <f t="shared" si="10"/>
        <v>-1961.4030196738313</v>
      </c>
      <c r="L41" s="4">
        <f t="shared" si="10"/>
        <v>1134.9662408295317</v>
      </c>
      <c r="M41" s="4">
        <f t="shared" si="10"/>
        <v>4005.9896498079088</v>
      </c>
      <c r="N41" s="4">
        <f t="shared" si="10"/>
        <v>6665.140576727872</v>
      </c>
      <c r="O41" s="4">
        <f t="shared" si="10"/>
        <v>9124.9633467128006</v>
      </c>
      <c r="P41" s="4">
        <f t="shared" si="10"/>
        <v>11397.130961137274</v>
      </c>
      <c r="Q41" s="4">
        <f t="shared" si="10"/>
        <v>13492.498949753322</v>
      </c>
      <c r="R41" s="4">
        <f t="shared" si="10"/>
        <v>16376.552308363742</v>
      </c>
      <c r="S41" s="4">
        <f t="shared" si="10"/>
        <v>19073.413018736584</v>
      </c>
      <c r="T41" s="4">
        <f t="shared" si="10"/>
        <v>21595.231025133311</v>
      </c>
      <c r="U41" s="4">
        <f t="shared" si="10"/>
        <v>23953.36766634959</v>
      </c>
      <c r="V41" s="4">
        <f t="shared" si="10"/>
        <v>26158.446861018478</v>
      </c>
      <c r="W41" s="4">
        <f t="shared" si="10"/>
        <v>28220.402970675328</v>
      </c>
      <c r="X41" s="4">
        <f t="shared" si="10"/>
        <v>30148.525556217948</v>
      </c>
      <c r="Y41" s="4">
        <f t="shared" si="10"/>
        <v>31951.501229399586</v>
      </c>
    </row>
    <row r="42" spans="1:25" x14ac:dyDescent="0.25">
      <c r="A42" s="42"/>
    </row>
    <row r="43" spans="1:25" x14ac:dyDescent="0.25">
      <c r="A43" s="43" t="s">
        <v>183</v>
      </c>
      <c r="B43" s="44"/>
      <c r="C43" s="44"/>
      <c r="D43" s="44"/>
      <c r="E43" s="45">
        <f>+NPV(E39,E36:Y36)</f>
        <v>29877.653978120135</v>
      </c>
      <c r="F43" s="44"/>
    </row>
    <row r="44" spans="1:25" x14ac:dyDescent="0.25">
      <c r="A44" s="43" t="s">
        <v>184</v>
      </c>
      <c r="B44" s="44"/>
      <c r="C44" s="44"/>
      <c r="D44" s="44"/>
      <c r="E44" s="46">
        <f>+IRR(E36:Y36,10)</f>
        <v>0.19277737750678647</v>
      </c>
      <c r="F44" s="44"/>
    </row>
    <row r="45" spans="1:25" x14ac:dyDescent="0.25">
      <c r="A45" s="43" t="s">
        <v>185</v>
      </c>
      <c r="B45" s="44"/>
      <c r="C45" s="44"/>
      <c r="D45" s="44"/>
      <c r="E45" s="45" cm="1">
        <f t="array" ref="E45">+NPV(E39,E18:X18/-NPV(E39,E30:Y30))</f>
        <v>1.6019254879268798</v>
      </c>
      <c r="F45" s="44"/>
    </row>
    <row r="46" spans="1:25" x14ac:dyDescent="0.25">
      <c r="A46" s="43" t="s">
        <v>186</v>
      </c>
      <c r="B46" s="44"/>
      <c r="C46" s="44"/>
      <c r="D46" s="44"/>
      <c r="E46" s="44" cm="1">
        <f t="array" ref="E46">+LOOKUP(INDEX(E37:Y37,MATCH(TRUE,E37:Y37&gt;0,0)),E37:Y37,E9:Y9)</f>
        <v>6</v>
      </c>
      <c r="F46" s="44" t="s">
        <v>187</v>
      </c>
    </row>
    <row r="47" spans="1:25" x14ac:dyDescent="0.25">
      <c r="A47" s="43" t="s">
        <v>188</v>
      </c>
      <c r="B47" s="44"/>
      <c r="C47" s="44"/>
      <c r="D47" s="44"/>
      <c r="E47" s="44" cm="1">
        <f t="array" ref="E47">+LOOKUP(INDEX(E41:Y41,MATCH(TRUE,E41:Y41&gt;0,0)),E41:Y41,E9:Y9)</f>
        <v>7</v>
      </c>
      <c r="F47" s="44" t="s">
        <v>187</v>
      </c>
    </row>
    <row r="50" spans="1:26" x14ac:dyDescent="0.25">
      <c r="A50" s="38" t="s">
        <v>171</v>
      </c>
      <c r="B50" s="38"/>
      <c r="C50" s="38"/>
      <c r="D50" s="38"/>
      <c r="E50" s="4">
        <f>-SUM(E11:E13)</f>
        <v>-26160</v>
      </c>
      <c r="F50" s="4">
        <f>IF(F9&lt;&gt;"",F30,"")</f>
        <v>-4544.9150983343361</v>
      </c>
      <c r="G50" s="4">
        <f t="shared" ref="G50:Y50" si="11">IF(G9&lt;&gt;"",G30,"")</f>
        <v>-4555.4765118538935</v>
      </c>
      <c r="H50" s="4">
        <f t="shared" si="11"/>
        <v>-4567.3052949957982</v>
      </c>
      <c r="I50" s="4">
        <f t="shared" si="11"/>
        <v>-4580.5535321147318</v>
      </c>
      <c r="J50" s="4">
        <f t="shared" si="11"/>
        <v>-4595.3915576879363</v>
      </c>
      <c r="K50" s="4">
        <f t="shared" si="11"/>
        <v>-4612.0101463299261</v>
      </c>
      <c r="L50" s="4">
        <f t="shared" si="11"/>
        <v>-4630.6229656089545</v>
      </c>
      <c r="M50" s="4">
        <f t="shared" si="11"/>
        <v>-4651.469323201467</v>
      </c>
      <c r="N50" s="4">
        <f t="shared" si="11"/>
        <v>-4674.8172437050798</v>
      </c>
      <c r="O50" s="4">
        <f t="shared" si="11"/>
        <v>-4700.9669146691267</v>
      </c>
      <c r="P50" s="4">
        <f t="shared" si="11"/>
        <v>-4730.2545461488589</v>
      </c>
      <c r="Q50" s="4">
        <f t="shared" si="11"/>
        <v>-4763.056693406159</v>
      </c>
      <c r="R50" s="4">
        <f t="shared" si="11"/>
        <v>-2513.8499028033557</v>
      </c>
      <c r="S50" s="4">
        <f t="shared" si="11"/>
        <v>-2513.8499028033557</v>
      </c>
      <c r="T50" s="4">
        <f t="shared" si="11"/>
        <v>-2513.8499028033557</v>
      </c>
      <c r="U50" s="4">
        <f t="shared" si="11"/>
        <v>-2513.8499028033557</v>
      </c>
      <c r="V50" s="4">
        <f t="shared" si="11"/>
        <v>-2513.8499028033557</v>
      </c>
      <c r="W50" s="4">
        <f t="shared" si="11"/>
        <v>-2513.8499028033557</v>
      </c>
      <c r="X50" s="4">
        <f t="shared" si="11"/>
        <v>-2513.8499028033557</v>
      </c>
      <c r="Y50" s="4">
        <f t="shared" si="11"/>
        <v>-2513.8499028033557</v>
      </c>
      <c r="Z50" s="4"/>
    </row>
    <row r="51" spans="1:26" x14ac:dyDescent="0.25">
      <c r="A51" s="38" t="s">
        <v>172</v>
      </c>
      <c r="B51" s="38"/>
      <c r="C51" s="38"/>
      <c r="D51" s="38"/>
      <c r="E51" s="4">
        <f>IF(E9&lt;&gt;"",E50*(1+$E$39)^-E9,"")</f>
        <v>-26160</v>
      </c>
      <c r="F51" s="4">
        <f>IF(F9&lt;&gt;"",F50*(1+$E$39)^-F9,"")</f>
        <v>-4249.9223962291062</v>
      </c>
      <c r="G51" s="4">
        <f t="shared" ref="G51:Y51" si="12">IF(G9&lt;&gt;"",G50*(1+$E$39)^-G9,"")</f>
        <v>-3983.3114255714167</v>
      </c>
      <c r="H51" s="4">
        <f t="shared" si="12"/>
        <v>-3734.4419913714864</v>
      </c>
      <c r="I51" s="4">
        <f t="shared" si="12"/>
        <v>-3502.1832254171068</v>
      </c>
      <c r="J51" s="4">
        <f t="shared" si="12"/>
        <v>-3285.4786373320021</v>
      </c>
      <c r="K51" s="4">
        <f t="shared" si="12"/>
        <v>-3083.3413332459968</v>
      </c>
      <c r="L51" s="4">
        <f t="shared" si="12"/>
        <v>-2894.8495469902773</v>
      </c>
      <c r="M51" s="4">
        <f t="shared" si="12"/>
        <v>-2719.1424636364636</v>
      </c>
      <c r="N51" s="4">
        <f t="shared" si="12"/>
        <v>-2555.4163165129617</v>
      </c>
      <c r="O51" s="4">
        <f t="shared" si="12"/>
        <v>-2402.9207400617679</v>
      </c>
      <c r="P51" s="4">
        <f t="shared" si="12"/>
        <v>-2260.9553620490074</v>
      </c>
      <c r="Q51" s="4">
        <f t="shared" si="12"/>
        <v>-2128.8666197181742</v>
      </c>
      <c r="R51" s="4">
        <f t="shared" si="12"/>
        <v>-1050.6480767796158</v>
      </c>
      <c r="S51" s="4">
        <f t="shared" si="12"/>
        <v>-982.4546103616251</v>
      </c>
      <c r="T51" s="4">
        <f t="shared" si="12"/>
        <v>-918.68731571787441</v>
      </c>
      <c r="U51" s="4">
        <f t="shared" si="12"/>
        <v>-859.0589073120193</v>
      </c>
      <c r="V51" s="4">
        <f t="shared" si="12"/>
        <v>-803.30074619072286</v>
      </c>
      <c r="W51" s="4">
        <f t="shared" si="12"/>
        <v>-751.16162970672178</v>
      </c>
      <c r="X51" s="4">
        <f t="shared" si="12"/>
        <v>-702.40665979624691</v>
      </c>
      <c r="Y51" s="4">
        <f t="shared" si="12"/>
        <v>-656.81618471213744</v>
      </c>
      <c r="Z51" s="4"/>
    </row>
    <row r="52" spans="1:26" x14ac:dyDescent="0.25">
      <c r="A52" s="38" t="s">
        <v>173</v>
      </c>
      <c r="B52" s="38"/>
      <c r="C52" s="38"/>
      <c r="D52" s="38"/>
      <c r="E52" s="4">
        <f>+E51</f>
        <v>-26160</v>
      </c>
      <c r="F52" s="4">
        <f>+E52+F51</f>
        <v>-30409.922396229107</v>
      </c>
      <c r="G52" s="4">
        <f t="shared" ref="G52:Y52" si="13">+F52+G51</f>
        <v>-34393.233821800524</v>
      </c>
      <c r="H52" s="4">
        <f t="shared" si="13"/>
        <v>-38127.675813172013</v>
      </c>
      <c r="I52" s="4">
        <f t="shared" si="13"/>
        <v>-41629.859038589122</v>
      </c>
      <c r="J52" s="4">
        <f t="shared" si="13"/>
        <v>-44915.337675921124</v>
      </c>
      <c r="K52" s="4">
        <f t="shared" si="13"/>
        <v>-47998.679009167121</v>
      </c>
      <c r="L52" s="4">
        <f t="shared" si="13"/>
        <v>-50893.528556157398</v>
      </c>
      <c r="M52" s="4">
        <f t="shared" si="13"/>
        <v>-53612.671019793859</v>
      </c>
      <c r="N52" s="4">
        <f t="shared" si="13"/>
        <v>-56168.087336306824</v>
      </c>
      <c r="O52" s="4">
        <f t="shared" si="13"/>
        <v>-58571.008076368591</v>
      </c>
      <c r="P52" s="4">
        <f t="shared" si="13"/>
        <v>-60831.963438417595</v>
      </c>
      <c r="Q52" s="4">
        <f t="shared" si="13"/>
        <v>-62960.830058135769</v>
      </c>
      <c r="R52" s="4">
        <f t="shared" si="13"/>
        <v>-64011.478134915385</v>
      </c>
      <c r="S52" s="4">
        <f t="shared" si="13"/>
        <v>-64993.932745277009</v>
      </c>
      <c r="T52" s="4">
        <f t="shared" si="13"/>
        <v>-65912.620060994886</v>
      </c>
      <c r="U52" s="4">
        <f t="shared" si="13"/>
        <v>-66771.678968306907</v>
      </c>
      <c r="V52" s="4">
        <f t="shared" si="13"/>
        <v>-67574.979714497633</v>
      </c>
      <c r="W52" s="4">
        <f t="shared" si="13"/>
        <v>-68326.141344204356</v>
      </c>
      <c r="X52" s="4">
        <f t="shared" si="13"/>
        <v>-69028.548004000608</v>
      </c>
      <c r="Y52" s="4">
        <f t="shared" si="13"/>
        <v>-69685.364188712745</v>
      </c>
    </row>
    <row r="53" spans="1:26" x14ac:dyDescent="0.25">
      <c r="A53" s="38" t="s">
        <v>174</v>
      </c>
      <c r="B53" s="38"/>
      <c r="C53" s="38"/>
      <c r="D53" s="38"/>
      <c r="F53" s="4">
        <f t="shared" ref="F53:Y53" si="14">IF(F9&lt;&gt;"",F18,"")</f>
        <v>10752.978309801516</v>
      </c>
      <c r="G53" s="4">
        <f t="shared" si="14"/>
        <v>10752.978309801516</v>
      </c>
      <c r="H53" s="4">
        <f t="shared" si="14"/>
        <v>10752.978309801516</v>
      </c>
      <c r="I53" s="4">
        <f t="shared" si="14"/>
        <v>10752.978309801516</v>
      </c>
      <c r="J53" s="4">
        <f t="shared" si="14"/>
        <v>10752.978309801516</v>
      </c>
      <c r="K53" s="4">
        <f t="shared" si="14"/>
        <v>10752.978309801516</v>
      </c>
      <c r="L53" s="4">
        <f t="shared" si="14"/>
        <v>10752.978309801516</v>
      </c>
      <c r="M53" s="4">
        <f t="shared" si="14"/>
        <v>10752.978309801516</v>
      </c>
      <c r="N53" s="4">
        <f t="shared" si="14"/>
        <v>10752.978309801516</v>
      </c>
      <c r="O53" s="4">
        <f t="shared" si="14"/>
        <v>10752.978309801516</v>
      </c>
      <c r="P53" s="4">
        <f t="shared" si="14"/>
        <v>10752.978309801516</v>
      </c>
      <c r="Q53" s="4">
        <f t="shared" si="14"/>
        <v>10752.978309801516</v>
      </c>
      <c r="R53" s="4">
        <f t="shared" si="14"/>
        <v>10752.978309801516</v>
      </c>
      <c r="S53" s="4">
        <f t="shared" si="14"/>
        <v>10752.978309801516</v>
      </c>
      <c r="T53" s="4">
        <f t="shared" si="14"/>
        <v>10752.978309801516</v>
      </c>
      <c r="U53" s="4">
        <f t="shared" si="14"/>
        <v>10752.978309801516</v>
      </c>
      <c r="V53" s="4">
        <f t="shared" si="14"/>
        <v>10752.978309801516</v>
      </c>
      <c r="W53" s="4">
        <f t="shared" si="14"/>
        <v>10752.978309801516</v>
      </c>
      <c r="X53" s="4">
        <f t="shared" si="14"/>
        <v>10752.978309801516</v>
      </c>
      <c r="Y53" s="4">
        <f t="shared" si="14"/>
        <v>10752.978309801516</v>
      </c>
    </row>
    <row r="54" spans="1:26" x14ac:dyDescent="0.25">
      <c r="A54" s="38" t="s">
        <v>175</v>
      </c>
      <c r="B54" s="38"/>
      <c r="C54" s="38"/>
      <c r="D54" s="38"/>
      <c r="F54" s="4">
        <f>IF(F9&lt;&gt;"",F53*(1+$E$39)^-F9,"")</f>
        <v>10055.0444521482</v>
      </c>
      <c r="G54" s="4">
        <f t="shared" ref="G54:Y54" si="15">IF(G9&lt;&gt;"",G53*(1+$E$39)^-G9,"")</f>
        <v>9402.4107574473983</v>
      </c>
      <c r="H54" s="4">
        <f t="shared" si="15"/>
        <v>8792.1369689096973</v>
      </c>
      <c r="I54" s="4">
        <f t="shared" si="15"/>
        <v>8221.4736703392809</v>
      </c>
      <c r="J54" s="4">
        <f t="shared" si="15"/>
        <v>7687.8498994157662</v>
      </c>
      <c r="K54" s="4">
        <f t="shared" si="15"/>
        <v>7188.8615649495787</v>
      </c>
      <c r="L54" s="4">
        <f t="shared" si="15"/>
        <v>6722.2606159280867</v>
      </c>
      <c r="M54" s="4">
        <f t="shared" si="15"/>
        <v>6285.9449135566711</v>
      </c>
      <c r="N54" s="4">
        <f t="shared" si="15"/>
        <v>5877.9487606660941</v>
      </c>
      <c r="O54" s="4">
        <f t="shared" si="15"/>
        <v>5496.4340458190654</v>
      </c>
      <c r="P54" s="4">
        <f t="shared" si="15"/>
        <v>5139.681962218302</v>
      </c>
      <c r="Q54" s="4">
        <f t="shared" si="15"/>
        <v>4806.0852641079337</v>
      </c>
      <c r="R54" s="4">
        <f t="shared" si="15"/>
        <v>4494.1410257816942</v>
      </c>
      <c r="S54" s="4">
        <f t="shared" si="15"/>
        <v>4202.4438705756102</v>
      </c>
      <c r="T54" s="4">
        <f t="shared" si="15"/>
        <v>3929.6796393403565</v>
      </c>
      <c r="U54" s="4">
        <f t="shared" si="15"/>
        <v>3674.6194698683757</v>
      </c>
      <c r="V54" s="4">
        <f t="shared" si="15"/>
        <v>3436.1142606022599</v>
      </c>
      <c r="W54" s="4">
        <f t="shared" si="15"/>
        <v>3213.0894936822219</v>
      </c>
      <c r="X54" s="4">
        <f t="shared" si="15"/>
        <v>3004.5403940093561</v>
      </c>
      <c r="Y54" s="4">
        <f t="shared" si="15"/>
        <v>2809.5274025151998</v>
      </c>
    </row>
    <row r="55" spans="1:26" x14ac:dyDescent="0.25">
      <c r="A55" s="38" t="s">
        <v>176</v>
      </c>
      <c r="B55" s="38"/>
      <c r="C55" s="38"/>
      <c r="D55" s="38"/>
      <c r="F55" s="4">
        <f t="shared" ref="F55:G55" si="16">IF(F9&lt;&gt;"",E55+F54,"")</f>
        <v>10055.0444521482</v>
      </c>
      <c r="G55" s="4">
        <f t="shared" si="16"/>
        <v>19457.455209595599</v>
      </c>
      <c r="H55" s="4">
        <f t="shared" ref="H55" si="17">IF(H9&lt;&gt;"",G55+H54,"")</f>
        <v>28249.592178505296</v>
      </c>
      <c r="I55" s="4">
        <f t="shared" ref="I55" si="18">IF(I9&lt;&gt;"",H55+I54,"")</f>
        <v>36471.065848844577</v>
      </c>
      <c r="J55" s="4">
        <f t="shared" ref="J55" si="19">IF(J9&lt;&gt;"",I55+J54,"")</f>
        <v>44158.91574826034</v>
      </c>
      <c r="K55" s="4">
        <f t="shared" ref="K55" si="20">IF(K9&lt;&gt;"",J55+K54,"")</f>
        <v>51347.777313209917</v>
      </c>
      <c r="L55" s="4">
        <f t="shared" ref="L55" si="21">IF(L9&lt;&gt;"",K55+L54,"")</f>
        <v>58070.037929138001</v>
      </c>
      <c r="M55" s="4">
        <f t="shared" ref="M55" si="22">IF(M9&lt;&gt;"",L55+M54,"")</f>
        <v>64355.98284269467</v>
      </c>
      <c r="N55" s="4">
        <f t="shared" ref="N55" si="23">IF(N9&lt;&gt;"",M55+N54,"")</f>
        <v>70233.931603360761</v>
      </c>
      <c r="O55" s="4">
        <f t="shared" ref="O55" si="24">IF(O9&lt;&gt;"",N55+O54,"")</f>
        <v>75730.365649179832</v>
      </c>
      <c r="P55" s="4">
        <f t="shared" ref="P55" si="25">IF(P9&lt;&gt;"",O55+P54,"")</f>
        <v>80870.047611398128</v>
      </c>
      <c r="Q55" s="4">
        <f t="shared" ref="Q55" si="26">IF(Q9&lt;&gt;"",P55+Q54,"")</f>
        <v>85676.132875506068</v>
      </c>
      <c r="R55" s="4">
        <f t="shared" ref="R55" si="27">IF(R9&lt;&gt;"",Q55+R54,"")</f>
        <v>90170.273901287757</v>
      </c>
      <c r="S55" s="4">
        <f t="shared" ref="S55" si="28">IF(S9&lt;&gt;"",R55+S54,"")</f>
        <v>94372.717771863361</v>
      </c>
      <c r="T55" s="4">
        <f t="shared" ref="T55" si="29">IF(T9&lt;&gt;"",S55+T54,"")</f>
        <v>98302.39741120371</v>
      </c>
      <c r="U55" s="4">
        <f t="shared" ref="U55" si="30">IF(U9&lt;&gt;"",T55+U54,"")</f>
        <v>101977.01688107208</v>
      </c>
      <c r="V55" s="4">
        <f t="shared" ref="V55" si="31">IF(V9&lt;&gt;"",U55+V54,"")</f>
        <v>105413.13114167434</v>
      </c>
      <c r="W55" s="4">
        <f t="shared" ref="W55" si="32">IF(W9&lt;&gt;"",V55+W54,"")</f>
        <v>108626.22063535656</v>
      </c>
      <c r="X55" s="4">
        <f t="shared" ref="X55" si="33">IF(X9&lt;&gt;"",W55+X54,"")</f>
        <v>111630.76102936591</v>
      </c>
      <c r="Y55" s="4">
        <f t="shared" ref="Y55" si="34">IF(Y9&lt;&gt;"",X55+Y54,"")</f>
        <v>114440.28843188111</v>
      </c>
    </row>
    <row r="56" spans="1:26" x14ac:dyDescent="0.25">
      <c r="A56" s="38" t="s">
        <v>177</v>
      </c>
      <c r="B56" s="38"/>
      <c r="C56" s="38"/>
      <c r="D56" s="38"/>
      <c r="F56" s="4">
        <f t="shared" ref="F56:Y56" si="35">IF(F9&lt;&gt;"",F55+F52,"")</f>
        <v>-20354.877944080908</v>
      </c>
      <c r="G56" s="4">
        <f t="shared" si="35"/>
        <v>-14935.778612204926</v>
      </c>
      <c r="H56" s="4">
        <f t="shared" si="35"/>
        <v>-9878.0836346667165</v>
      </c>
      <c r="I56" s="4">
        <f t="shared" si="35"/>
        <v>-5158.7931897445451</v>
      </c>
      <c r="J56" s="4">
        <f t="shared" si="35"/>
        <v>-756.42192766078369</v>
      </c>
      <c r="K56" s="4">
        <f t="shared" si="35"/>
        <v>3349.0983040427964</v>
      </c>
      <c r="L56" s="4">
        <f t="shared" si="35"/>
        <v>7176.5093729806031</v>
      </c>
      <c r="M56" s="4">
        <f t="shared" si="35"/>
        <v>10743.311822900811</v>
      </c>
      <c r="N56" s="4">
        <f t="shared" si="35"/>
        <v>14065.844267053937</v>
      </c>
      <c r="O56" s="4">
        <f t="shared" si="35"/>
        <v>17159.357572811241</v>
      </c>
      <c r="P56" s="4">
        <f t="shared" si="35"/>
        <v>20038.084172980532</v>
      </c>
      <c r="Q56" s="4">
        <f t="shared" si="35"/>
        <v>22715.302817370299</v>
      </c>
      <c r="R56" s="4">
        <f t="shared" si="35"/>
        <v>26158.795766372372</v>
      </c>
      <c r="S56" s="4">
        <f t="shared" si="35"/>
        <v>29378.785026586353</v>
      </c>
      <c r="T56" s="4">
        <f t="shared" si="35"/>
        <v>32389.777350208824</v>
      </c>
      <c r="U56" s="4">
        <f t="shared" si="35"/>
        <v>35205.337912765171</v>
      </c>
      <c r="V56" s="4">
        <f t="shared" si="35"/>
        <v>37838.151427176708</v>
      </c>
      <c r="W56" s="4">
        <f t="shared" si="35"/>
        <v>40300.0792911522</v>
      </c>
      <c r="X56" s="4">
        <f t="shared" si="35"/>
        <v>42602.213025365301</v>
      </c>
      <c r="Y56" s="4">
        <f t="shared" si="35"/>
        <v>44754.924243168367</v>
      </c>
    </row>
    <row r="57" spans="1:26" x14ac:dyDescent="0.25">
      <c r="A57" s="41" t="s">
        <v>178</v>
      </c>
      <c r="B57" s="41"/>
      <c r="C57" s="41"/>
      <c r="D57" s="41"/>
      <c r="F57" s="47">
        <f>-F50/F14</f>
        <v>25.225597640451404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9" spans="1:26" x14ac:dyDescent="0.25">
      <c r="A59" s="74" t="s">
        <v>122</v>
      </c>
      <c r="B59" s="74"/>
      <c r="C59" s="74"/>
      <c r="D59" s="74"/>
      <c r="E59" s="4">
        <f>E11</f>
        <v>14160</v>
      </c>
      <c r="F59" s="4">
        <f t="shared" ref="F59:Y59" si="36">IF(F9="",E59,-F52)</f>
        <v>30409.922396229107</v>
      </c>
      <c r="G59" s="4">
        <f t="shared" si="36"/>
        <v>34393.233821800524</v>
      </c>
      <c r="H59" s="4">
        <f t="shared" si="36"/>
        <v>38127.675813172013</v>
      </c>
      <c r="I59" s="4">
        <f t="shared" si="36"/>
        <v>41629.859038589122</v>
      </c>
      <c r="J59" s="4">
        <f t="shared" si="36"/>
        <v>44915.337675921124</v>
      </c>
      <c r="K59" s="4">
        <f t="shared" si="36"/>
        <v>47998.679009167121</v>
      </c>
      <c r="L59" s="4">
        <f t="shared" si="36"/>
        <v>50893.528556157398</v>
      </c>
      <c r="M59" s="4">
        <f t="shared" si="36"/>
        <v>53612.671019793859</v>
      </c>
      <c r="N59" s="4">
        <f t="shared" si="36"/>
        <v>56168.087336306824</v>
      </c>
      <c r="O59" s="4">
        <f t="shared" si="36"/>
        <v>58571.008076368591</v>
      </c>
      <c r="P59" s="4">
        <f t="shared" si="36"/>
        <v>60831.963438417595</v>
      </c>
      <c r="Q59" s="4">
        <f t="shared" si="36"/>
        <v>62960.830058135769</v>
      </c>
      <c r="R59" s="4">
        <f t="shared" si="36"/>
        <v>64011.478134915385</v>
      </c>
      <c r="S59" s="4">
        <f t="shared" si="36"/>
        <v>64993.932745277009</v>
      </c>
      <c r="T59" s="4">
        <f t="shared" si="36"/>
        <v>65912.620060994886</v>
      </c>
      <c r="U59" s="4">
        <f t="shared" si="36"/>
        <v>66771.678968306907</v>
      </c>
      <c r="V59" s="4">
        <f t="shared" si="36"/>
        <v>67574.979714497633</v>
      </c>
      <c r="W59" s="4">
        <f t="shared" si="36"/>
        <v>68326.141344204356</v>
      </c>
      <c r="X59" s="4">
        <f t="shared" si="36"/>
        <v>69028.548004000608</v>
      </c>
      <c r="Y59" s="4">
        <f t="shared" si="36"/>
        <v>69685.364188712745</v>
      </c>
    </row>
    <row r="60" spans="1:26" x14ac:dyDescent="0.25">
      <c r="A60" s="74" t="s">
        <v>123</v>
      </c>
      <c r="B60" s="74"/>
      <c r="C60" s="74"/>
      <c r="D60" s="74"/>
      <c r="F60" s="4">
        <f t="shared" ref="F60:Y60" si="37">IF(F9="",E60,F55)</f>
        <v>10055.0444521482</v>
      </c>
      <c r="G60" s="4">
        <f t="shared" si="37"/>
        <v>19457.455209595599</v>
      </c>
      <c r="H60" s="4">
        <f t="shared" si="37"/>
        <v>28249.592178505296</v>
      </c>
      <c r="I60" s="4">
        <f t="shared" si="37"/>
        <v>36471.065848844577</v>
      </c>
      <c r="J60" s="4">
        <f t="shared" si="37"/>
        <v>44158.91574826034</v>
      </c>
      <c r="K60" s="4">
        <f t="shared" si="37"/>
        <v>51347.777313209917</v>
      </c>
      <c r="L60" s="4">
        <f t="shared" si="37"/>
        <v>58070.037929138001</v>
      </c>
      <c r="M60" s="4">
        <f t="shared" si="37"/>
        <v>64355.98284269467</v>
      </c>
      <c r="N60" s="4">
        <f t="shared" si="37"/>
        <v>70233.931603360761</v>
      </c>
      <c r="O60" s="4">
        <f t="shared" si="37"/>
        <v>75730.365649179832</v>
      </c>
      <c r="P60" s="4">
        <f t="shared" si="37"/>
        <v>80870.047611398128</v>
      </c>
      <c r="Q60" s="4">
        <f t="shared" si="37"/>
        <v>85676.132875506068</v>
      </c>
      <c r="R60" s="4">
        <f t="shared" si="37"/>
        <v>90170.273901287757</v>
      </c>
      <c r="S60" s="4">
        <f t="shared" si="37"/>
        <v>94372.717771863361</v>
      </c>
      <c r="T60" s="4">
        <f t="shared" si="37"/>
        <v>98302.39741120371</v>
      </c>
      <c r="U60" s="4">
        <f t="shared" si="37"/>
        <v>101977.01688107208</v>
      </c>
      <c r="V60" s="4">
        <f t="shared" si="37"/>
        <v>105413.13114167434</v>
      </c>
      <c r="W60" s="4">
        <f t="shared" si="37"/>
        <v>108626.22063535656</v>
      </c>
      <c r="X60" s="4">
        <f t="shared" si="37"/>
        <v>111630.76102936591</v>
      </c>
      <c r="Y60" s="4">
        <f t="shared" si="37"/>
        <v>114440.28843188111</v>
      </c>
    </row>
  </sheetData>
  <sheetProtection selectLockedCells="1"/>
  <mergeCells count="27">
    <mergeCell ref="E3:H3"/>
    <mergeCell ref="A59:D59"/>
    <mergeCell ref="A60:D60"/>
    <mergeCell ref="A12:D12"/>
    <mergeCell ref="A21:D21"/>
    <mergeCell ref="A24:D24"/>
    <mergeCell ref="A25:D25"/>
    <mergeCell ref="A28:D28"/>
    <mergeCell ref="A27:D27"/>
    <mergeCell ref="A13:D13"/>
    <mergeCell ref="A17:D17"/>
    <mergeCell ref="A19:D19"/>
    <mergeCell ref="A14:D14"/>
    <mergeCell ref="A18:D18"/>
    <mergeCell ref="A31:D31"/>
    <mergeCell ref="A33:D33"/>
    <mergeCell ref="A34:D34"/>
    <mergeCell ref="A32:D32"/>
    <mergeCell ref="A23:D23"/>
    <mergeCell ref="I7:J7"/>
    <mergeCell ref="A20:D20"/>
    <mergeCell ref="A26:D26"/>
    <mergeCell ref="N7:O7"/>
    <mergeCell ref="A7:D7"/>
    <mergeCell ref="A9:D9"/>
    <mergeCell ref="A11:D11"/>
    <mergeCell ref="A16:D16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nuity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61"/>
  <sheetViews>
    <sheetView showZeros="0" zoomScale="80" zoomScaleNormal="80" workbookViewId="0">
      <selection activeCell="Q23" sqref="Q23"/>
    </sheetView>
  </sheetViews>
  <sheetFormatPr defaultRowHeight="15" x14ac:dyDescent="0.25"/>
  <cols>
    <col min="4" max="4" width="23.140625" customWidth="1"/>
    <col min="5" max="5" width="12" customWidth="1"/>
    <col min="6" max="6" width="11.85546875" customWidth="1"/>
    <col min="7" max="7" width="11.28515625" customWidth="1"/>
    <col min="8" max="8" width="12.42578125" customWidth="1"/>
    <col min="9" max="9" width="13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3" customWidth="1"/>
    <col min="19" max="19" width="14.5703125" customWidth="1"/>
    <col min="20" max="20" width="12.42578125" customWidth="1"/>
    <col min="21" max="21" width="11.28515625" customWidth="1"/>
    <col min="22" max="22" width="12.28515625" customWidth="1"/>
    <col min="23" max="23" width="11.85546875" customWidth="1"/>
    <col min="24" max="24" width="12.140625" customWidth="1"/>
    <col min="25" max="25" width="12.42578125" customWidth="1"/>
  </cols>
  <sheetData>
    <row r="3" spans="1:25" ht="16.5" x14ac:dyDescent="0.35">
      <c r="E3" s="64" t="s">
        <v>159</v>
      </c>
      <c r="F3" s="64"/>
      <c r="G3" s="64"/>
      <c r="H3" s="64"/>
    </row>
    <row r="7" spans="1:25" ht="21" x14ac:dyDescent="0.35">
      <c r="A7" s="81" t="s">
        <v>160</v>
      </c>
      <c r="B7" s="81"/>
      <c r="C7" s="81"/>
      <c r="D7" s="81"/>
      <c r="I7" s="68" t="s">
        <v>139</v>
      </c>
      <c r="J7" s="68"/>
      <c r="N7" s="69" t="s">
        <v>140</v>
      </c>
      <c r="O7" s="69"/>
    </row>
    <row r="9" spans="1:25" x14ac:dyDescent="0.25">
      <c r="A9" s="67" t="s">
        <v>63</v>
      </c>
      <c r="B9" s="67"/>
      <c r="C9" s="67"/>
      <c r="D9" s="67"/>
      <c r="E9" s="19">
        <v>0</v>
      </c>
      <c r="F9" s="19">
        <v>1</v>
      </c>
      <c r="G9" s="19">
        <f>IF(F9&lt;UnosPodataka!$M$21,'FinInd+CO2'!F9+1,"")</f>
        <v>2</v>
      </c>
      <c r="H9" s="19">
        <f>IF(G9&lt;UnosPodataka!$M$21,'FinInd+CO2'!G9+1,"")</f>
        <v>3</v>
      </c>
      <c r="I9" s="19">
        <f>IF(H9&lt;UnosPodataka!$M$21,'FinInd+CO2'!H9+1,"")</f>
        <v>4</v>
      </c>
      <c r="J9" s="19">
        <f>IF(I9&lt;UnosPodataka!$M$21,'FinInd+CO2'!I9+1,"")</f>
        <v>5</v>
      </c>
      <c r="K9" s="19">
        <f>IF(J9&lt;UnosPodataka!$M$21,'FinInd+CO2'!J9+1,"")</f>
        <v>6</v>
      </c>
      <c r="L9" s="19">
        <f>IF(K9&lt;UnosPodataka!$M$21,'FinInd+CO2'!K9+1,"")</f>
        <v>7</v>
      </c>
      <c r="M9" s="19">
        <f>IF(L9&lt;UnosPodataka!$M$21,'FinInd+CO2'!L9+1,"")</f>
        <v>8</v>
      </c>
      <c r="N9" s="19">
        <f>IF(M9&lt;UnosPodataka!$M$21,'FinInd+CO2'!M9+1,"")</f>
        <v>9</v>
      </c>
      <c r="O9" s="19">
        <f>IF(N9&lt;UnosPodataka!$M$21,'FinInd+CO2'!N9+1,"")</f>
        <v>10</v>
      </c>
      <c r="P9" s="19">
        <f>IF(O9&lt;UnosPodataka!$M$21,'FinInd+CO2'!O9+1,"")</f>
        <v>11</v>
      </c>
      <c r="Q9" s="19">
        <f>IF(P9&lt;UnosPodataka!$M$21,'FinInd+CO2'!P9+1,"")</f>
        <v>12</v>
      </c>
      <c r="R9" s="19">
        <f>IF(Q9&lt;UnosPodataka!$M$21,'FinInd+CO2'!Q9+1,"")</f>
        <v>13</v>
      </c>
      <c r="S9" s="19">
        <f>IF(R9&lt;UnosPodataka!$M$21,'FinInd+CO2'!R9+1,"")</f>
        <v>14</v>
      </c>
      <c r="T9" s="19">
        <f>IF(S9&lt;UnosPodataka!$M$21,'FinInd+CO2'!S9+1,"")</f>
        <v>15</v>
      </c>
      <c r="U9" s="19">
        <f>IF(T9&lt;UnosPodataka!$M$21,'FinInd+CO2'!T9+1,"")</f>
        <v>16</v>
      </c>
      <c r="V9" s="19">
        <f>IF(U9&lt;UnosPodataka!$M$21,'FinInd+CO2'!U9+1,"")</f>
        <v>17</v>
      </c>
      <c r="W9" s="19">
        <f>IF(V9&lt;UnosPodataka!$M$21,'FinInd+CO2'!V9+1,"")</f>
        <v>18</v>
      </c>
      <c r="X9" s="19">
        <f>IF(W9&lt;UnosPodataka!$M$21,'FinInd+CO2'!W9+1,"")</f>
        <v>19</v>
      </c>
      <c r="Y9" s="19">
        <f>IF(X9&lt;UnosPodataka!$M$21,'FinInd+CO2'!X9+1,"")</f>
        <v>20</v>
      </c>
    </row>
    <row r="11" spans="1:25" x14ac:dyDescent="0.25">
      <c r="A11" s="74" t="s">
        <v>111</v>
      </c>
      <c r="B11" s="74"/>
      <c r="C11" s="74"/>
      <c r="D11" s="74"/>
      <c r="E11" s="4">
        <f>LOAN</f>
        <v>14160</v>
      </c>
    </row>
    <row r="12" spans="1:25" x14ac:dyDescent="0.25">
      <c r="A12" s="74" t="s">
        <v>112</v>
      </c>
      <c r="B12" s="74"/>
      <c r="C12" s="74"/>
      <c r="D12" s="74"/>
      <c r="E12" s="4">
        <f>IF(EQUITY=0,LOAN,EQUITY)</f>
        <v>2000</v>
      </c>
    </row>
    <row r="13" spans="1:25" x14ac:dyDescent="0.25">
      <c r="A13" s="74" t="s">
        <v>164</v>
      </c>
      <c r="B13" s="74"/>
      <c r="C13" s="74"/>
      <c r="D13" s="74"/>
      <c r="E13" s="4">
        <f>+PomTab1!K22</f>
        <v>10000</v>
      </c>
    </row>
    <row r="14" spans="1:25" x14ac:dyDescent="0.25">
      <c r="A14" s="74" t="s">
        <v>113</v>
      </c>
      <c r="B14" s="74"/>
      <c r="C14" s="74"/>
      <c r="D14" s="74"/>
      <c r="F14" s="4">
        <f>IF(F9&lt;&gt;"",Ustede!$J$10,"")</f>
        <v>180.17076</v>
      </c>
      <c r="G14" s="4">
        <f>IF(G9&lt;&gt;"",Ustede!$J$10,"")</f>
        <v>180.17076</v>
      </c>
      <c r="H14" s="4">
        <f>IF(H9&lt;&gt;"",Ustede!$J$10,"")</f>
        <v>180.17076</v>
      </c>
      <c r="I14" s="4">
        <f>IF(I9&lt;&gt;"",Ustede!$J$10,"")</f>
        <v>180.17076</v>
      </c>
      <c r="J14" s="4">
        <f>IF(J9&lt;&gt;"",Ustede!$J$10,"")</f>
        <v>180.17076</v>
      </c>
      <c r="K14" s="4">
        <f>IF(K9&lt;&gt;"",Ustede!$J$10,"")</f>
        <v>180.17076</v>
      </c>
      <c r="L14" s="4">
        <f>IF(L9&lt;&gt;"",Ustede!$J$10,"")</f>
        <v>180.17076</v>
      </c>
      <c r="M14" s="4">
        <f>IF(M9&lt;&gt;"",Ustede!$J$10,"")</f>
        <v>180.17076</v>
      </c>
      <c r="N14" s="4">
        <f>IF(N9&lt;&gt;"",Ustede!$J$10,"")</f>
        <v>180.17076</v>
      </c>
      <c r="O14" s="4">
        <f>IF(O9&lt;&gt;"",Ustede!$J$10,"")</f>
        <v>180.17076</v>
      </c>
      <c r="P14" s="4">
        <f>IF(P9&lt;&gt;"",Ustede!$J$10,"")</f>
        <v>180.17076</v>
      </c>
      <c r="Q14" s="4">
        <f>IF(Q9&lt;&gt;"",Ustede!$J$10,"")</f>
        <v>180.17076</v>
      </c>
      <c r="R14" s="4">
        <f>IF(R9&lt;&gt;"",Ustede!$J$10,"")</f>
        <v>180.17076</v>
      </c>
      <c r="S14" s="4">
        <f>IF(S9&lt;&gt;"",Ustede!$J$10,"")</f>
        <v>180.17076</v>
      </c>
      <c r="T14" s="4">
        <f>IF(T9&lt;&gt;"",Ustede!$J$10,"")</f>
        <v>180.17076</v>
      </c>
      <c r="U14" s="4">
        <f>IF(U9&lt;&gt;"",Ustede!$J$10,"")</f>
        <v>180.17076</v>
      </c>
      <c r="V14" s="4">
        <f>IF(V9&lt;&gt;"",Ustede!$J$10,"")</f>
        <v>180.17076</v>
      </c>
      <c r="W14" s="4">
        <f>IF(W9&lt;&gt;"",Ustede!$J$10,"")</f>
        <v>180.17076</v>
      </c>
      <c r="X14" s="4">
        <f>IF(X9&lt;&gt;"",Ustede!$J$10,"")</f>
        <v>180.17076</v>
      </c>
      <c r="Y14" s="4">
        <f>IF(Y9&lt;&gt;"",Ustede!$J$10,"")</f>
        <v>180.17076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67" t="s">
        <v>165</v>
      </c>
      <c r="B16" s="67"/>
      <c r="C16" s="67"/>
      <c r="D16" s="67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74" t="s">
        <v>114</v>
      </c>
      <c r="B17" s="74"/>
      <c r="C17" s="74"/>
      <c r="D17" s="74"/>
      <c r="F17" s="4">
        <f>IF(F9&lt;&gt;"",Ustede!$J$11,"")</f>
        <v>10752.978309801516</v>
      </c>
      <c r="G17" s="4">
        <f>IF(G9&lt;&gt;"",Ustede!$J$11,"")</f>
        <v>10752.978309801516</v>
      </c>
      <c r="H17" s="4">
        <f>IF(H9&lt;&gt;"",Ustede!$J$11,"")</f>
        <v>10752.978309801516</v>
      </c>
      <c r="I17" s="4">
        <f>IF(I9&lt;&gt;"",Ustede!$J$11,"")</f>
        <v>10752.978309801516</v>
      </c>
      <c r="J17" s="4">
        <f>IF(J9&lt;&gt;"",Ustede!$J$11,"")</f>
        <v>10752.978309801516</v>
      </c>
      <c r="K17" s="4">
        <f>IF(K9&lt;&gt;"",Ustede!$J$11,"")</f>
        <v>10752.978309801516</v>
      </c>
      <c r="L17" s="4">
        <f>IF(L9&lt;&gt;"",Ustede!$J$11,"")</f>
        <v>10752.978309801516</v>
      </c>
      <c r="M17" s="4">
        <f>IF(M9&lt;&gt;"",Ustede!$J$11,"")</f>
        <v>10752.978309801516</v>
      </c>
      <c r="N17" s="4">
        <f>IF(N9&lt;&gt;"",Ustede!$J$11,"")</f>
        <v>10752.978309801516</v>
      </c>
      <c r="O17" s="4">
        <f>IF(O9&lt;&gt;"",Ustede!$J$11,"")</f>
        <v>10752.978309801516</v>
      </c>
      <c r="P17" s="4">
        <f>IF(P9&lt;&gt;"",Ustede!$J$11,"")</f>
        <v>10752.978309801516</v>
      </c>
      <c r="Q17" s="4">
        <f>IF(Q9&lt;&gt;"",Ustede!$J$11,"")</f>
        <v>10752.978309801516</v>
      </c>
      <c r="R17" s="4">
        <f>IF(R9&lt;&gt;"",Ustede!$J$11,"")</f>
        <v>10752.978309801516</v>
      </c>
      <c r="S17" s="4">
        <f>IF(S9&lt;&gt;"",Ustede!$J$11,"")</f>
        <v>10752.978309801516</v>
      </c>
      <c r="T17" s="4">
        <f>IF(T9&lt;&gt;"",Ustede!$J$11,"")</f>
        <v>10752.978309801516</v>
      </c>
      <c r="U17" s="4">
        <f>IF(U9&lt;&gt;"",Ustede!$J$11,"")</f>
        <v>10752.978309801516</v>
      </c>
      <c r="V17" s="4">
        <f>IF(V9&lt;&gt;"",Ustede!$J$11,"")</f>
        <v>10752.978309801516</v>
      </c>
      <c r="W17" s="4">
        <f>IF(W9&lt;&gt;"",Ustede!$J$11,"")</f>
        <v>10752.978309801516</v>
      </c>
      <c r="X17" s="4">
        <f>IF(X9&lt;&gt;"",Ustede!$J$11,"")</f>
        <v>10752.978309801516</v>
      </c>
      <c r="Y17" s="4">
        <f>IF(Y9&lt;&gt;"",Ustede!$J$11,"")</f>
        <v>10752.978309801516</v>
      </c>
    </row>
    <row r="18" spans="1:25" ht="18" x14ac:dyDescent="0.35">
      <c r="A18" s="74" t="s">
        <v>124</v>
      </c>
      <c r="B18" s="74"/>
      <c r="C18" s="74"/>
      <c r="D18" s="74"/>
      <c r="F18" s="4">
        <f>IF(F9&lt;&gt;"",F14*UnosPodataka!$M$20*UnosPodataka!$M$13,"")</f>
        <v>4784.8155638976014</v>
      </c>
      <c r="G18" s="4">
        <f>IF(G9&lt;&gt;"",G14*UnosPodataka!$M$20*UnosPodataka!$M$13,"")</f>
        <v>4784.8155638976014</v>
      </c>
      <c r="H18" s="4">
        <f>IF(H9&lt;&gt;"",H14*UnosPodataka!$M$20*UnosPodataka!$M$13,"")</f>
        <v>4784.8155638976014</v>
      </c>
      <c r="I18" s="4">
        <f>IF(I9&lt;&gt;"",I14*UnosPodataka!$M$20*UnosPodataka!$M$13,"")</f>
        <v>4784.8155638976014</v>
      </c>
      <c r="J18" s="4">
        <f>IF(J9&lt;&gt;"",J14*UnosPodataka!$M$20*UnosPodataka!$M$13,"")</f>
        <v>4784.8155638976014</v>
      </c>
      <c r="K18" s="4">
        <f>IF(K9&lt;&gt;"",K14*UnosPodataka!$M$20*UnosPodataka!$M$13,"")</f>
        <v>4784.8155638976014</v>
      </c>
      <c r="L18" s="4">
        <f>IF(L9&lt;&gt;"",L14*UnosPodataka!$M$20*UnosPodataka!$M$13,"")</f>
        <v>4784.8155638976014</v>
      </c>
      <c r="M18" s="4">
        <f>IF(M9&lt;&gt;"",M14*UnosPodataka!$M$20*UnosPodataka!$M$13,"")</f>
        <v>4784.8155638976014</v>
      </c>
      <c r="N18" s="4">
        <f>IF(N9&lt;&gt;"",N14*UnosPodataka!$M$20*UnosPodataka!$M$13,"")</f>
        <v>4784.8155638976014</v>
      </c>
      <c r="O18" s="4">
        <f>IF(O9&lt;&gt;"",O14*UnosPodataka!$M$20*UnosPodataka!$M$13,"")</f>
        <v>4784.8155638976014</v>
      </c>
      <c r="P18" s="4">
        <f>IF(P9&lt;&gt;"",P14*UnosPodataka!$M$20*UnosPodataka!$M$13,"")</f>
        <v>4784.8155638976014</v>
      </c>
      <c r="Q18" s="4">
        <f>IF(Q9&lt;&gt;"",Q14*UnosPodataka!$M$20*UnosPodataka!$M$13,"")</f>
        <v>4784.8155638976014</v>
      </c>
      <c r="R18" s="4">
        <f>IF(R9&lt;&gt;"",R14*UnosPodataka!$M$20*UnosPodataka!$M$13,"")</f>
        <v>4784.8155638976014</v>
      </c>
      <c r="S18" s="4">
        <f>IF(S9&lt;&gt;"",S14*UnosPodataka!$M$20*UnosPodataka!$M$13,"")</f>
        <v>4784.8155638976014</v>
      </c>
      <c r="T18" s="4">
        <f>IF(T9&lt;&gt;"",T14*UnosPodataka!$M$20*UnosPodataka!$M$13,"")</f>
        <v>4784.8155638976014</v>
      </c>
      <c r="U18" s="4">
        <f>IF(U9&lt;&gt;"",U14*UnosPodataka!$M$20*UnosPodataka!$M$13,"")</f>
        <v>4784.8155638976014</v>
      </c>
      <c r="V18" s="4">
        <f>IF(V9&lt;&gt;"",V14*UnosPodataka!$M$20*UnosPodataka!$M$13,"")</f>
        <v>4784.8155638976014</v>
      </c>
      <c r="W18" s="4">
        <f>IF(W9&lt;&gt;"",W14*UnosPodataka!$M$20*UnosPodataka!$M$13,"")</f>
        <v>4784.8155638976014</v>
      </c>
      <c r="X18" s="4">
        <f>IF(X9&lt;&gt;"",X14*UnosPodataka!$M$20*UnosPodataka!$M$13,"")</f>
        <v>4784.8155638976014</v>
      </c>
      <c r="Y18" s="4">
        <f>IF(Y9&lt;&gt;"",Y14*UnosPodataka!$M$20*UnosPodataka!$M$13,"")</f>
        <v>4784.8155638976014</v>
      </c>
    </row>
    <row r="19" spans="1:25" x14ac:dyDescent="0.25">
      <c r="A19" s="80" t="s">
        <v>125</v>
      </c>
      <c r="B19" s="80"/>
      <c r="C19" s="80"/>
      <c r="D19" s="80"/>
      <c r="F19" s="4">
        <f>IF(F9&lt;&gt;"",F17+F18,"")</f>
        <v>15537.793873699116</v>
      </c>
      <c r="G19" s="4">
        <f t="shared" ref="G19:Y19" si="0">IF(G9&lt;&gt;"",G17+G18,"")</f>
        <v>15537.793873699116</v>
      </c>
      <c r="H19" s="4">
        <f t="shared" si="0"/>
        <v>15537.793873699116</v>
      </c>
      <c r="I19" s="4">
        <f t="shared" si="0"/>
        <v>15537.793873699116</v>
      </c>
      <c r="J19" s="4">
        <f t="shared" si="0"/>
        <v>15537.793873699116</v>
      </c>
      <c r="K19" s="4">
        <f t="shared" si="0"/>
        <v>15537.793873699116</v>
      </c>
      <c r="L19" s="4">
        <f t="shared" si="0"/>
        <v>15537.793873699116</v>
      </c>
      <c r="M19" s="4">
        <f t="shared" si="0"/>
        <v>15537.793873699116</v>
      </c>
      <c r="N19" s="4">
        <f t="shared" si="0"/>
        <v>15537.793873699116</v>
      </c>
      <c r="O19" s="4">
        <f t="shared" si="0"/>
        <v>15537.793873699116</v>
      </c>
      <c r="P19" s="4">
        <f t="shared" si="0"/>
        <v>15537.793873699116</v>
      </c>
      <c r="Q19" s="4">
        <f t="shared" si="0"/>
        <v>15537.793873699116</v>
      </c>
      <c r="R19" s="4">
        <f t="shared" si="0"/>
        <v>15537.793873699116</v>
      </c>
      <c r="S19" s="4">
        <f t="shared" si="0"/>
        <v>15537.793873699116</v>
      </c>
      <c r="T19" s="4">
        <f t="shared" si="0"/>
        <v>15537.793873699116</v>
      </c>
      <c r="U19" s="4">
        <f t="shared" si="0"/>
        <v>15537.793873699116</v>
      </c>
      <c r="V19" s="4">
        <f t="shared" si="0"/>
        <v>15537.793873699116</v>
      </c>
      <c r="W19" s="4">
        <f t="shared" si="0"/>
        <v>15537.793873699116</v>
      </c>
      <c r="X19" s="4">
        <f t="shared" si="0"/>
        <v>15537.793873699116</v>
      </c>
      <c r="Y19" s="4">
        <f t="shared" si="0"/>
        <v>15537.793873699116</v>
      </c>
    </row>
    <row r="20" spans="1:25" x14ac:dyDescent="0.25">
      <c r="A20" s="75"/>
      <c r="B20" s="75"/>
      <c r="C20" s="75"/>
      <c r="D20" s="75"/>
    </row>
    <row r="21" spans="1:25" x14ac:dyDescent="0.25">
      <c r="A21" s="67" t="s">
        <v>166</v>
      </c>
      <c r="B21" s="67"/>
      <c r="C21" s="67"/>
      <c r="D21" s="67"/>
    </row>
    <row r="22" spans="1:25" x14ac:dyDescent="0.25">
      <c r="A22" s="74" t="s">
        <v>116</v>
      </c>
      <c r="B22" s="74"/>
      <c r="C22" s="74"/>
      <c r="D22" s="74"/>
      <c r="F22" s="4">
        <f>IF(F9&gt;UnosPodataka!$M$18,"",-VLOOKUP(F9,Annuity!$B$13:$E$32,3,FALSE))</f>
        <v>-1699.2</v>
      </c>
      <c r="G22" s="4">
        <f>IF(G9&gt;UnosPodataka!$M$18,"",-VLOOKUP(G9,Annuity!$B$13:$E$32,3,FALSE))</f>
        <v>-1628.7905765362825</v>
      </c>
      <c r="H22" s="4">
        <f>IF(H9&gt;UnosPodataka!$M$18,"",-VLOOKUP(H9,Annuity!$B$13:$E$32,3,FALSE))</f>
        <v>-1549.9320222569188</v>
      </c>
      <c r="I22" s="4">
        <f>IF(I9&gt;UnosPodataka!$M$18,"",-VLOOKUP(I9,Annuity!$B$13:$E$32,3,FALSE))</f>
        <v>-1461.6104414640315</v>
      </c>
      <c r="J22" s="4">
        <f>IF(J9&gt;UnosPodataka!$M$18,"",-VLOOKUP(J9,Annuity!$B$13:$E$32,3,FALSE))</f>
        <v>-1362.6902709759979</v>
      </c>
      <c r="K22" s="4">
        <f>IF(K9&gt;UnosPodataka!$M$18,"",-VLOOKUP(K9,Annuity!$B$13:$E$32,3,FALSE))</f>
        <v>-1251.8996800294001</v>
      </c>
      <c r="L22" s="4">
        <f>IF(L9&gt;UnosPodataka!$M$18,"",-VLOOKUP(L9,Annuity!$B$13:$E$32,3,FALSE))</f>
        <v>-1127.8142181692106</v>
      </c>
      <c r="M22" s="4">
        <f>IF(M9&gt;UnosPodataka!$M$18,"",-VLOOKUP(M9,Annuity!$B$13:$E$32,3,FALSE))</f>
        <v>-988.83850088579834</v>
      </c>
      <c r="N22" s="4">
        <f>IF(N9&gt;UnosPodataka!$M$18,"",-VLOOKUP(N9,Annuity!$B$13:$E$32,3,FALSE))</f>
        <v>-833.18569752837664</v>
      </c>
      <c r="O22" s="4">
        <f>IF(O9&gt;UnosPodataka!$M$18,"",-VLOOKUP(O9,Annuity!$B$13:$E$32,3,FALSE))</f>
        <v>-658.85455776806418</v>
      </c>
      <c r="P22" s="4">
        <f>IF(P9&gt;UnosPodataka!$M$18,"",-VLOOKUP(P9,Annuity!$B$13:$E$32,3,FALSE))</f>
        <v>-463.60368123651426</v>
      </c>
      <c r="Q22" s="4">
        <f>IF(Q9&gt;UnosPodataka!$M$18,"",-VLOOKUP(Q9,Annuity!$B$13:$E$32,3,FALSE))</f>
        <v>-244.92269952117837</v>
      </c>
      <c r="R22" s="4" t="str">
        <f>IF(R9&gt;UnosPodataka!$M$18,"",-VLOOKUP(R9,Annuity!$B$13:$E$32,3,FALSE))</f>
        <v/>
      </c>
      <c r="S22" s="4" t="str">
        <f>IF(S9&gt;UnosPodataka!$M$18,"",-VLOOKUP(S9,Annuity!$B$13:$E$32,3,FALSE))</f>
        <v/>
      </c>
      <c r="T22" s="4" t="str">
        <f>IF(T9&gt;UnosPodataka!$M$18,"",-VLOOKUP(T9,Annuity!$B$13:$E$32,3,FALSE))</f>
        <v/>
      </c>
      <c r="U22" s="4" t="str">
        <f>IF(U9&gt;UnosPodataka!$M$18,"",-VLOOKUP(U9,Annuity!$B$13:$E$32,3,FALSE))</f>
        <v/>
      </c>
      <c r="V22" s="4" t="str">
        <f>IF(V9&gt;UnosPodataka!$M$18,"",-VLOOKUP(V9,Annuity!$B$13:$E$32,3,FALSE))</f>
        <v/>
      </c>
      <c r="W22" s="4" t="str">
        <f>IF(W9&gt;UnosPodataka!$M$18,"",-VLOOKUP(W9,Annuity!$B$13:$E$32,3,FALSE))</f>
        <v/>
      </c>
      <c r="X22" s="4" t="str">
        <f>IF(X9&gt;UnosPodataka!$M$18,"",-VLOOKUP(X9,Annuity!$B$13:$E$32,3,FALSE))</f>
        <v/>
      </c>
      <c r="Y22" s="4" t="str">
        <f>IF(Y9&gt;UnosPodataka!$M$18,"",-VLOOKUP(Y9,Annuity!$B$13:$E$32,3,FALSE))</f>
        <v/>
      </c>
    </row>
    <row r="23" spans="1:25" x14ac:dyDescent="0.25">
      <c r="A23" s="38" t="s">
        <v>167</v>
      </c>
      <c r="B23" s="38"/>
      <c r="C23" s="38"/>
      <c r="D23" s="38"/>
      <c r="F23" s="4">
        <f>IF(F22="",0,IF(F9&gt;UnosPodataka!$M$18,"",VLOOKUP(F9,Annuity!$B$13:$E$32,4,FALSE)+VLOOKUP(F9,Annuity!$B$13:$E$32,3,FALSE)))</f>
        <v>-586.74519553098003</v>
      </c>
      <c r="G23" s="4">
        <f>IF(G22="",0,IF(G9&gt;UnosPodataka!$M$18,"",VLOOKUP(G9,Annuity!$B$13:$E$32,4,FALSE)+VLOOKUP(G9,Annuity!$B$13:$E$32,3,FALSE)))</f>
        <v>-657.15461899469756</v>
      </c>
      <c r="H23" s="4">
        <f>IF(H22="",0,IF(H9&gt;UnosPodataka!$M$18,"",VLOOKUP(H9,Annuity!$B$13:$E$32,4,FALSE)+VLOOKUP(H9,Annuity!$B$13:$E$32,3,FALSE)))</f>
        <v>-736.01317327406127</v>
      </c>
      <c r="I23" s="4">
        <f>IF(I22="",0,IF(I9&gt;UnosPodataka!$M$18,"",VLOOKUP(I9,Annuity!$B$13:$E$32,4,FALSE)+VLOOKUP(I9,Annuity!$B$13:$E$32,3,FALSE)))</f>
        <v>-824.33475406694856</v>
      </c>
      <c r="J23" s="4">
        <f>IF(J22="",0,IF(J9&gt;UnosPodataka!$M$18,"",VLOOKUP(J9,Annuity!$B$13:$E$32,4,FALSE)+VLOOKUP(J9,Annuity!$B$13:$E$32,3,FALSE)))</f>
        <v>-923.25492455498215</v>
      </c>
      <c r="K23" s="4">
        <f>IF(K22="",0,IF(K9&gt;UnosPodataka!$M$18,"",VLOOKUP(K9,Annuity!$B$13:$E$32,4,FALSE)+VLOOKUP(K9,Annuity!$B$13:$E$32,3,FALSE)))</f>
        <v>-1034.04551550158</v>
      </c>
      <c r="L23" s="4">
        <f>IF(L22="",0,IF(L9&gt;UnosPodataka!$M$18,"",VLOOKUP(L9,Annuity!$B$13:$E$32,4,FALSE)+VLOOKUP(L9,Annuity!$B$13:$E$32,3,FALSE)))</f>
        <v>-1158.1309773617695</v>
      </c>
      <c r="M23" s="4">
        <f>IF(M22="",0,IF(M9&gt;UnosPodataka!$M$18,"",VLOOKUP(M9,Annuity!$B$13:$E$32,4,FALSE)+VLOOKUP(M9,Annuity!$B$13:$E$32,3,FALSE)))</f>
        <v>-1297.1066946451817</v>
      </c>
      <c r="N23" s="4">
        <f>IF(N22="",0,IF(N9&gt;UnosPodataka!$M$18,"",VLOOKUP(N9,Annuity!$B$13:$E$32,4,FALSE)+VLOOKUP(N9,Annuity!$B$13:$E$32,3,FALSE)))</f>
        <v>-1452.7594980026033</v>
      </c>
      <c r="O23" s="4">
        <f>IF(O22="",0,IF(O9&gt;UnosPodataka!$M$18,"",VLOOKUP(O9,Annuity!$B$13:$E$32,4,FALSE)+VLOOKUP(O9,Annuity!$B$13:$E$32,3,FALSE)))</f>
        <v>-1627.0906377629158</v>
      </c>
      <c r="P23" s="4">
        <f>IF(P22="",0,IF(P9&gt;UnosPodataka!$M$18,"",VLOOKUP(P9,Annuity!$B$13:$E$32,4,FALSE)+VLOOKUP(P9,Annuity!$B$13:$E$32,3,FALSE)))</f>
        <v>-1822.3415142944659</v>
      </c>
      <c r="Q23" s="4">
        <f>IF(Q22="",0,IF(Q9&gt;UnosPodataka!$M$18,"",VLOOKUP(Q9,Annuity!$B$13:$E$32,4,FALSE)+VLOOKUP(Q9,Annuity!$B$13:$E$32,3,FALSE)))</f>
        <v>-2041.0224960098017</v>
      </c>
      <c r="R23" s="4">
        <f>IF(R22="",0,IF(R9&gt;UnosPodataka!$M$18,"",VLOOKUP(R9,Annuity!$B$13:$E$32,4,FALSE)+VLOOKUP(R9,Annuity!$B$13:$E$32,3,FALSE)))</f>
        <v>0</v>
      </c>
      <c r="S23" s="4">
        <f>IF(S22="",0,IF(S9&gt;UnosPodataka!$M$18,"",VLOOKUP(S9,Annuity!$B$13:$E$32,4,FALSE)+VLOOKUP(S9,Annuity!$B$13:$E$32,3,FALSE)))</f>
        <v>0</v>
      </c>
      <c r="T23" s="4">
        <f>IF(T22="",0,IF(T9&gt;UnosPodataka!$M$18,"",VLOOKUP(T9,Annuity!$B$13:$E$32,4,FALSE)+VLOOKUP(T9,Annuity!$B$13:$E$32,3,FALSE)))</f>
        <v>0</v>
      </c>
      <c r="U23" s="4">
        <f>IF(U22="",0,IF(U9&gt;UnosPodataka!$M$18,"",VLOOKUP(U9,Annuity!$B$13:$E$32,4,FALSE)+VLOOKUP(U9,Annuity!$B$13:$E$32,3,FALSE)))</f>
        <v>0</v>
      </c>
      <c r="V23" s="4">
        <f>IF(V22="",0,IF(V9&gt;UnosPodataka!$M$18,"",VLOOKUP(V9,Annuity!$B$13:$E$32,4,FALSE)+VLOOKUP(V9,Annuity!$B$13:$E$32,3,FALSE)))</f>
        <v>0</v>
      </c>
      <c r="W23" s="4">
        <f>IF(W22="",0,IF(W9&gt;UnosPodataka!$M$18,"",VLOOKUP(W9,Annuity!$B$13:$E$32,4,FALSE)+VLOOKUP(W9,Annuity!$B$13:$E$32,3,FALSE)))</f>
        <v>0</v>
      </c>
      <c r="X23" s="4">
        <f>IF(X22="",0,IF(X9&gt;UnosPodataka!$M$18,"",VLOOKUP(X9,Annuity!$B$13:$E$32,4,FALSE)+VLOOKUP(X9,Annuity!$B$13:$E$32,3,FALSE)))</f>
        <v>0</v>
      </c>
      <c r="Y23" s="4">
        <f>IF(Y22="",0,IF(Y9&gt;UnosPodataka!$M$18,"",VLOOKUP(Y9,Annuity!$B$13:$E$32,4,FALSE)+VLOOKUP(Y9,Annuity!$B$13:$E$32,3,FALSE)))</f>
        <v>0</v>
      </c>
    </row>
    <row r="24" spans="1:25" x14ac:dyDescent="0.25">
      <c r="A24" s="74" t="s">
        <v>117</v>
      </c>
      <c r="B24" s="74"/>
      <c r="C24" s="74"/>
      <c r="D24" s="74"/>
      <c r="F24" s="4">
        <f>IF(F9&lt;&gt;"",-UnosPodataka!$M$9,"")</f>
        <v>-100</v>
      </c>
      <c r="G24" s="4">
        <f>IF(G9&lt;&gt;"",-UnosPodataka!$M$9,"")</f>
        <v>-100</v>
      </c>
      <c r="H24" s="4">
        <f>IF(H9&lt;&gt;"",-UnosPodataka!$M$9,"")</f>
        <v>-100</v>
      </c>
      <c r="I24" s="4">
        <f>IF(I9&lt;&gt;"",-UnosPodataka!$M$9,"")</f>
        <v>-100</v>
      </c>
      <c r="J24" s="4">
        <f>IF(J9&lt;&gt;"",-UnosPodataka!$M$9,"")</f>
        <v>-100</v>
      </c>
      <c r="K24" s="4">
        <f>IF(K9&lt;&gt;"",-UnosPodataka!$M$9,"")</f>
        <v>-100</v>
      </c>
      <c r="L24" s="4">
        <f>IF(L9&lt;&gt;"",-UnosPodataka!$M$9,"")</f>
        <v>-100</v>
      </c>
      <c r="M24" s="4">
        <f>IF(M9&lt;&gt;"",-UnosPodataka!$M$9,"")</f>
        <v>-100</v>
      </c>
      <c r="N24" s="4">
        <f>IF(N9&lt;&gt;"",-UnosPodataka!$M$9,"")</f>
        <v>-100</v>
      </c>
      <c r="O24" s="4">
        <f>IF(O9&lt;&gt;"",-UnosPodataka!$M$9,"")</f>
        <v>-100</v>
      </c>
      <c r="P24" s="4">
        <f>IF(P9&lt;&gt;"",-UnosPodataka!$M$9,"")</f>
        <v>-100</v>
      </c>
      <c r="Q24" s="4">
        <f>IF(Q9&lt;&gt;"",-UnosPodataka!$M$9,"")</f>
        <v>-100</v>
      </c>
      <c r="R24" s="4">
        <f>IF(R9&lt;&gt;"",-UnosPodataka!$M$9,"")</f>
        <v>-100</v>
      </c>
      <c r="S24" s="4">
        <f>IF(S9&lt;&gt;"",-UnosPodataka!$M$9,"")</f>
        <v>-100</v>
      </c>
      <c r="T24" s="4">
        <f>IF(T9&lt;&gt;"",-UnosPodataka!$M$9,"")</f>
        <v>-100</v>
      </c>
      <c r="U24" s="4">
        <f>IF(U9&lt;&gt;"",-UnosPodataka!$M$9,"")</f>
        <v>-100</v>
      </c>
      <c r="V24" s="4">
        <f>IF(V9&lt;&gt;"",-UnosPodataka!$M$9,"")</f>
        <v>-100</v>
      </c>
      <c r="W24" s="4">
        <f>IF(W9&lt;&gt;"",-UnosPodataka!$M$9,"")</f>
        <v>-100</v>
      </c>
      <c r="X24" s="4">
        <f>IF(X9&lt;&gt;"",-UnosPodataka!$M$9,"")</f>
        <v>-100</v>
      </c>
      <c r="Y24" s="4">
        <f>IF(Y9&lt;&gt;"",-UnosPodataka!$M$9,"")</f>
        <v>-100</v>
      </c>
    </row>
    <row r="25" spans="1:25" x14ac:dyDescent="0.25">
      <c r="A25" s="74" t="s">
        <v>118</v>
      </c>
      <c r="B25" s="74"/>
      <c r="C25" s="74"/>
      <c r="D25" s="74"/>
      <c r="F25" s="4">
        <f>IF(F9&lt;&gt;"",-Investment*UnosPodataka!$M$11,"")</f>
        <v>0</v>
      </c>
      <c r="G25" s="4">
        <f>IF(G9&lt;&gt;"",-$E$11*UnosPodataka!$M$11,"")</f>
        <v>0</v>
      </c>
      <c r="H25" s="4">
        <f>IF(H9&lt;&gt;"",-$E$11*UnosPodataka!$M$11,"")</f>
        <v>0</v>
      </c>
      <c r="I25" s="4">
        <f>IF(I9&lt;&gt;"",-$E$11*UnosPodataka!$M$11,"")</f>
        <v>0</v>
      </c>
      <c r="J25" s="4">
        <f>IF(J9&lt;&gt;"",-$E$11*UnosPodataka!$M$11,"")</f>
        <v>0</v>
      </c>
      <c r="K25" s="4">
        <f>IF(K9&lt;&gt;"",-$E$11*UnosPodataka!$M$11,"")</f>
        <v>0</v>
      </c>
      <c r="L25" s="4">
        <f>IF(L9&lt;&gt;"",-$E$11*UnosPodataka!$M$11,"")</f>
        <v>0</v>
      </c>
      <c r="M25" s="4">
        <f>IF(M9&lt;&gt;"",-$E$11*UnosPodataka!$M$11,"")</f>
        <v>0</v>
      </c>
      <c r="N25" s="4">
        <f>IF(N9&lt;&gt;"",-$E$11*UnosPodataka!$M$11,"")</f>
        <v>0</v>
      </c>
      <c r="O25" s="4">
        <f>IF(O9&lt;&gt;"",-$E$11*UnosPodataka!$M$11,"")</f>
        <v>0</v>
      </c>
      <c r="P25" s="4">
        <f>IF(P9&lt;&gt;"",-$E$11*UnosPodataka!$M$11,"")</f>
        <v>0</v>
      </c>
      <c r="Q25" s="4">
        <f>IF(Q9&lt;&gt;"",-$E$11*UnosPodataka!$M$11,"")</f>
        <v>0</v>
      </c>
      <c r="R25" s="4">
        <f>IF(R9&lt;&gt;"",-$E$11*UnosPodataka!$M$11,"")</f>
        <v>0</v>
      </c>
      <c r="S25" s="4">
        <f>IF(S9&lt;&gt;"",-$E$11*UnosPodataka!$M$11,"")</f>
        <v>0</v>
      </c>
      <c r="T25" s="4">
        <f>IF(T9&lt;&gt;"",-$E$11*UnosPodataka!$M$11,"")</f>
        <v>0</v>
      </c>
      <c r="U25" s="4">
        <f>IF(U9&lt;&gt;"",-$E$11*UnosPodataka!$M$11,"")</f>
        <v>0</v>
      </c>
      <c r="V25" s="4">
        <f>IF(V9&lt;&gt;"",-$E$11*UnosPodataka!$M$11,"")</f>
        <v>0</v>
      </c>
      <c r="W25" s="4">
        <f>IF(W9&lt;&gt;"",-$E$11*UnosPodataka!$M$11,"")</f>
        <v>0</v>
      </c>
      <c r="X25" s="4">
        <f>IF(X9&lt;&gt;"",-$E$11*UnosPodataka!$M$11,"")</f>
        <v>0</v>
      </c>
      <c r="Y25" s="4">
        <f>IF(Y9&lt;&gt;"",-$E$11*UnosPodataka!$M$11,"")</f>
        <v>0</v>
      </c>
    </row>
    <row r="26" spans="1:25" x14ac:dyDescent="0.25">
      <c r="A26" s="74" t="s">
        <v>12</v>
      </c>
      <c r="B26" s="74"/>
      <c r="C26" s="74"/>
      <c r="D26" s="74"/>
      <c r="F26" s="4" t="str">
        <f>IF(F9&lt;&gt;"","","")</f>
        <v/>
      </c>
      <c r="G26" s="4" t="str">
        <f t="shared" ref="G26:Y26" si="1">IF(G9&lt;&gt;"","","")</f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  <c r="P26" s="4" t="str">
        <f t="shared" si="1"/>
        <v/>
      </c>
      <c r="Q26" s="4" t="str">
        <f t="shared" si="1"/>
        <v/>
      </c>
      <c r="R26" s="4" t="str">
        <f t="shared" si="1"/>
        <v/>
      </c>
      <c r="S26" s="4" t="str">
        <f t="shared" si="1"/>
        <v/>
      </c>
      <c r="T26" s="4" t="str">
        <f t="shared" si="1"/>
        <v/>
      </c>
      <c r="U26" s="4" t="str">
        <f t="shared" si="1"/>
        <v/>
      </c>
      <c r="V26" s="4" t="str">
        <f t="shared" si="1"/>
        <v/>
      </c>
      <c r="W26" s="4" t="str">
        <f t="shared" si="1"/>
        <v/>
      </c>
      <c r="X26" s="4" t="str">
        <f t="shared" si="1"/>
        <v/>
      </c>
      <c r="Y26" s="4" t="str">
        <f t="shared" si="1"/>
        <v/>
      </c>
    </row>
    <row r="27" spans="1:25" x14ac:dyDescent="0.25">
      <c r="A27" s="74" t="s">
        <v>168</v>
      </c>
      <c r="B27" s="74"/>
      <c r="C27" s="74"/>
      <c r="D27" s="74"/>
      <c r="F27" s="4">
        <f>IF(F9&lt;&gt;"",-Investment*UnosPodataka!$M$12,"")</f>
        <v>-654</v>
      </c>
      <c r="G27" s="4">
        <f>IF(G9&lt;&gt;"",-Investment*UnosPodataka!$M$12,"")</f>
        <v>-654</v>
      </c>
      <c r="H27" s="4">
        <f>IF(H9&lt;&gt;"",-Investment*UnosPodataka!$M$12,"")</f>
        <v>-654</v>
      </c>
      <c r="I27" s="4">
        <f>IF(I9&lt;&gt;"",-Investment*UnosPodataka!$M$12,"")</f>
        <v>-654</v>
      </c>
      <c r="J27" s="4">
        <f>IF(J9&lt;&gt;"",-Investment*UnosPodataka!$M$12,"")</f>
        <v>-654</v>
      </c>
      <c r="K27" s="4">
        <f>IF(K9&lt;&gt;"",-Investment*UnosPodataka!$M$12,"")</f>
        <v>-654</v>
      </c>
      <c r="L27" s="4">
        <f>IF(L9&lt;&gt;"",-Investment*UnosPodataka!$M$12,"")</f>
        <v>-654</v>
      </c>
      <c r="M27" s="4">
        <f>IF(M9&lt;&gt;"",-Investment*UnosPodataka!$M$12,"")</f>
        <v>-654</v>
      </c>
      <c r="N27" s="4">
        <f>IF(N9&lt;&gt;"",-Investment*UnosPodataka!$M$12,"")</f>
        <v>-654</v>
      </c>
      <c r="O27" s="4">
        <f>IF(O9&lt;&gt;"",-Investment*UnosPodataka!$M$12,"")</f>
        <v>-654</v>
      </c>
      <c r="P27" s="4">
        <f>IF(P9&lt;&gt;"",-Investment*UnosPodataka!$M$12,"")</f>
        <v>-654</v>
      </c>
      <c r="Q27" s="4">
        <f>IF(Q9&lt;&gt;"",-Investment*UnosPodataka!$M$12,"")</f>
        <v>-654</v>
      </c>
      <c r="R27" s="4">
        <f>IF(R9&lt;&gt;"",-Investment*UnosPodataka!$M$12,"")</f>
        <v>-654</v>
      </c>
      <c r="S27" s="4">
        <f>IF(S9&lt;&gt;"",-Investment*UnosPodataka!$M$12,"")</f>
        <v>-654</v>
      </c>
      <c r="T27" s="4">
        <f>IF(T9&lt;&gt;"",-Investment*UnosPodataka!$M$12,"")</f>
        <v>-654</v>
      </c>
      <c r="U27" s="4">
        <f>IF(U9&lt;&gt;"",-Investment*UnosPodataka!$M$12,"")</f>
        <v>-654</v>
      </c>
      <c r="V27" s="4">
        <f>IF(V9&lt;&gt;"",-Investment*UnosPodataka!$M$12,"")</f>
        <v>-654</v>
      </c>
      <c r="W27" s="4">
        <f>IF(W9&lt;&gt;"",-Investment*UnosPodataka!$M$12,"")</f>
        <v>-654</v>
      </c>
      <c r="X27" s="4">
        <f>IF(X9&lt;&gt;"",-Investment*UnosPodataka!$M$12,"")</f>
        <v>-654</v>
      </c>
      <c r="Y27" s="4">
        <f>IF(Y9&lt;&gt;"",-Investment*UnosPodataka!$M$12,"")</f>
        <v>-654</v>
      </c>
    </row>
    <row r="28" spans="1:25" x14ac:dyDescent="0.25">
      <c r="A28" s="74" t="s">
        <v>126</v>
      </c>
      <c r="B28" s="74"/>
      <c r="C28" s="74"/>
      <c r="D28" s="74"/>
      <c r="F28" s="4">
        <f>IF(F9&lt;&gt;"",-(1-UnosPodataka!$M$10)*'FinInd+CO2'!F17,"")</f>
        <v>-1075.2978309801513</v>
      </c>
      <c r="G28" s="4">
        <f>IF(G9&lt;&gt;"",-(1-UnosPodataka!$M$10)*'FinInd+CO2'!G17,"")</f>
        <v>-1075.2978309801513</v>
      </c>
      <c r="H28" s="4">
        <f>IF(H9&lt;&gt;"",-(1-UnosPodataka!$M$10)*'FinInd+CO2'!H17,"")</f>
        <v>-1075.2978309801513</v>
      </c>
      <c r="I28" s="4">
        <f>IF(I9&lt;&gt;"",-(1-UnosPodataka!$M$10)*'FinInd+CO2'!I17,"")</f>
        <v>-1075.2978309801513</v>
      </c>
      <c r="J28" s="4">
        <f>IF(J9&lt;&gt;"",-(1-UnosPodataka!$M$10)*'FinInd+CO2'!J17,"")</f>
        <v>-1075.2978309801513</v>
      </c>
      <c r="K28" s="4">
        <f>IF(K9&lt;&gt;"",-(1-UnosPodataka!$M$10)*'FinInd+CO2'!K17,"")</f>
        <v>-1075.2978309801513</v>
      </c>
      <c r="L28" s="4">
        <f>IF(L9&lt;&gt;"",-(1-UnosPodataka!$M$10)*'FinInd+CO2'!L17,"")</f>
        <v>-1075.2978309801513</v>
      </c>
      <c r="M28" s="4">
        <f>IF(M9&lt;&gt;"",-(1-UnosPodataka!$M$10)*'FinInd+CO2'!M17,"")</f>
        <v>-1075.2978309801513</v>
      </c>
      <c r="N28" s="4">
        <f>IF(N9&lt;&gt;"",-(1-UnosPodataka!$M$10)*'FinInd+CO2'!N17,"")</f>
        <v>-1075.2978309801513</v>
      </c>
      <c r="O28" s="4">
        <f>IF(O9&lt;&gt;"",-(1-UnosPodataka!$M$10)*'FinInd+CO2'!O17,"")</f>
        <v>-1075.2978309801513</v>
      </c>
      <c r="P28" s="4">
        <f>IF(P9&lt;&gt;"",-(1-UnosPodataka!$M$10)*'FinInd+CO2'!P17,"")</f>
        <v>-1075.2978309801513</v>
      </c>
      <c r="Q28" s="4">
        <f>IF(Q9&lt;&gt;"",-(1-UnosPodataka!$M$10)*'FinInd+CO2'!Q17,"")</f>
        <v>-1075.2978309801513</v>
      </c>
      <c r="R28" s="4">
        <f>IF(R9&lt;&gt;"",-(1-UnosPodataka!$M$10)*'FinInd+CO2'!R17,"")</f>
        <v>-1075.2978309801513</v>
      </c>
      <c r="S28" s="4">
        <f>IF(S9&lt;&gt;"",-(1-UnosPodataka!$M$10)*'FinInd+CO2'!S17,"")</f>
        <v>-1075.2978309801513</v>
      </c>
      <c r="T28" s="4">
        <f>IF(T9&lt;&gt;"",-(1-UnosPodataka!$M$10)*'FinInd+CO2'!T17,"")</f>
        <v>-1075.2978309801513</v>
      </c>
      <c r="U28" s="4">
        <f>IF(U9&lt;&gt;"",-(1-UnosPodataka!$M$10)*'FinInd+CO2'!U17,"")</f>
        <v>-1075.2978309801513</v>
      </c>
      <c r="V28" s="4">
        <f>IF(V9&lt;&gt;"",-(1-UnosPodataka!$M$10)*'FinInd+CO2'!V17,"")</f>
        <v>-1075.2978309801513</v>
      </c>
      <c r="W28" s="4">
        <f>IF(W9&lt;&gt;"",-(1-UnosPodataka!$M$10)*'FinInd+CO2'!W17,"")</f>
        <v>-1075.2978309801513</v>
      </c>
      <c r="X28" s="4">
        <f>IF(X9&lt;&gt;"",-(1-UnosPodataka!$M$10)*'FinInd+CO2'!X17,"")</f>
        <v>-1075.2978309801513</v>
      </c>
      <c r="Y28" s="4">
        <f>IF(Y9&lt;&gt;"",-(1-UnosPodataka!$M$10)*'FinInd+CO2'!Y17,"")</f>
        <v>-1075.2978309801513</v>
      </c>
    </row>
    <row r="29" spans="1:25" x14ac:dyDescent="0.25">
      <c r="A29" s="80" t="s">
        <v>127</v>
      </c>
      <c r="B29" s="80"/>
      <c r="C29" s="80"/>
      <c r="D29" s="80"/>
      <c r="F29" s="4">
        <f>IF(F9&lt;&gt;"",SUM(F22:F28),"")</f>
        <v>-4115.2430265111316</v>
      </c>
      <c r="G29" s="4">
        <f t="shared" ref="G29:Y29" si="2">IF(G9&lt;&gt;"",SUM(G22:G28),"")</f>
        <v>-4115.2430265111316</v>
      </c>
      <c r="H29" s="4">
        <f t="shared" si="2"/>
        <v>-4115.2430265111316</v>
      </c>
      <c r="I29" s="4">
        <f t="shared" si="2"/>
        <v>-4115.2430265111316</v>
      </c>
      <c r="J29" s="4">
        <f t="shared" si="2"/>
        <v>-4115.2430265111316</v>
      </c>
      <c r="K29" s="4">
        <f t="shared" si="2"/>
        <v>-4115.2430265111316</v>
      </c>
      <c r="L29" s="4">
        <f t="shared" si="2"/>
        <v>-4115.2430265111316</v>
      </c>
      <c r="M29" s="4">
        <f t="shared" si="2"/>
        <v>-4115.2430265111316</v>
      </c>
      <c r="N29" s="4">
        <f t="shared" si="2"/>
        <v>-4115.2430265111316</v>
      </c>
      <c r="O29" s="4">
        <f t="shared" si="2"/>
        <v>-4115.2430265111316</v>
      </c>
      <c r="P29" s="4">
        <f t="shared" si="2"/>
        <v>-4115.2430265111316</v>
      </c>
      <c r="Q29" s="4">
        <f t="shared" si="2"/>
        <v>-4115.2430265111316</v>
      </c>
      <c r="R29" s="4">
        <f t="shared" si="2"/>
        <v>-1829.2978309801513</v>
      </c>
      <c r="S29" s="4">
        <f t="shared" si="2"/>
        <v>-1829.2978309801513</v>
      </c>
      <c r="T29" s="4">
        <f t="shared" si="2"/>
        <v>-1829.2978309801513</v>
      </c>
      <c r="U29" s="4">
        <f t="shared" si="2"/>
        <v>-1829.2978309801513</v>
      </c>
      <c r="V29" s="4">
        <f t="shared" si="2"/>
        <v>-1829.2978309801513</v>
      </c>
      <c r="W29" s="4">
        <f t="shared" si="2"/>
        <v>-1829.2978309801513</v>
      </c>
      <c r="X29" s="4">
        <f t="shared" si="2"/>
        <v>-1829.2978309801513</v>
      </c>
      <c r="Y29" s="4">
        <f t="shared" si="2"/>
        <v>-1829.2978309801513</v>
      </c>
    </row>
    <row r="31" spans="1:25" x14ac:dyDescent="0.25">
      <c r="A31" t="s">
        <v>169</v>
      </c>
      <c r="E31" s="4">
        <f>-SUM(E11:E13)</f>
        <v>-26160</v>
      </c>
      <c r="F31" s="4">
        <f>+F29-F27-F34</f>
        <v>-5262.6374329189766</v>
      </c>
      <c r="G31" s="4">
        <f t="shared" ref="G31:Y31" si="3">+G29-G27-G34</f>
        <v>-5273.198846438534</v>
      </c>
      <c r="H31" s="4">
        <f t="shared" si="3"/>
        <v>-5285.0276295804379</v>
      </c>
      <c r="I31" s="4">
        <f t="shared" si="3"/>
        <v>-5298.2758666993714</v>
      </c>
      <c r="J31" s="4">
        <f t="shared" si="3"/>
        <v>-5313.1138922725768</v>
      </c>
      <c r="K31" s="4">
        <f t="shared" si="3"/>
        <v>-5329.7324809145666</v>
      </c>
      <c r="L31" s="4">
        <f t="shared" si="3"/>
        <v>-5348.3453001935941</v>
      </c>
      <c r="M31" s="4">
        <f t="shared" si="3"/>
        <v>-5369.1916577861066</v>
      </c>
      <c r="N31" s="4">
        <f t="shared" si="3"/>
        <v>-5392.5395782897194</v>
      </c>
      <c r="O31" s="4">
        <f t="shared" si="3"/>
        <v>-5418.6892492537663</v>
      </c>
      <c r="P31" s="4">
        <f t="shared" si="3"/>
        <v>-5447.9768807334985</v>
      </c>
      <c r="Q31" s="4">
        <f t="shared" si="3"/>
        <v>-5480.7790279907995</v>
      </c>
      <c r="R31" s="4">
        <f t="shared" si="3"/>
        <v>-3231.5722373879962</v>
      </c>
      <c r="S31" s="4">
        <f t="shared" si="3"/>
        <v>-3231.5722373879962</v>
      </c>
      <c r="T31" s="4">
        <f t="shared" si="3"/>
        <v>-3231.5722373879962</v>
      </c>
      <c r="U31" s="4">
        <f t="shared" si="3"/>
        <v>-3231.5722373879962</v>
      </c>
      <c r="V31" s="4">
        <f t="shared" si="3"/>
        <v>-3231.5722373879962</v>
      </c>
      <c r="W31" s="4">
        <f t="shared" si="3"/>
        <v>-3231.5722373879962</v>
      </c>
      <c r="X31" s="4">
        <f t="shared" si="3"/>
        <v>-3231.5722373879962</v>
      </c>
      <c r="Y31" s="4">
        <f t="shared" si="3"/>
        <v>-3231.5722373879962</v>
      </c>
    </row>
    <row r="32" spans="1:25" x14ac:dyDescent="0.25">
      <c r="A32" s="67" t="s">
        <v>170</v>
      </c>
      <c r="B32" s="67"/>
      <c r="C32" s="67"/>
      <c r="D32" s="67"/>
      <c r="F32" s="4">
        <f>IF(F9&lt;&gt;"",F19+F29-F23,"")</f>
        <v>12009.296042718965</v>
      </c>
      <c r="G32" s="4">
        <f t="shared" ref="G32:Y32" si="4">IF(G9&lt;&gt;"",G19+G29-G23,"")</f>
        <v>12079.705466182681</v>
      </c>
      <c r="H32" s="4">
        <f t="shared" si="4"/>
        <v>12158.564020462045</v>
      </c>
      <c r="I32" s="4">
        <f t="shared" si="4"/>
        <v>12246.885601254933</v>
      </c>
      <c r="J32" s="4">
        <f t="shared" si="4"/>
        <v>12345.805771742966</v>
      </c>
      <c r="K32" s="4">
        <f t="shared" si="4"/>
        <v>12456.596362689565</v>
      </c>
      <c r="L32" s="4">
        <f t="shared" si="4"/>
        <v>12580.681824549752</v>
      </c>
      <c r="M32" s="4">
        <f t="shared" si="4"/>
        <v>12719.657541833165</v>
      </c>
      <c r="N32" s="4">
        <f t="shared" si="4"/>
        <v>12875.310345190588</v>
      </c>
      <c r="O32" s="4">
        <f t="shared" si="4"/>
        <v>13049.6414849509</v>
      </c>
      <c r="P32" s="4">
        <f t="shared" si="4"/>
        <v>13244.892361482449</v>
      </c>
      <c r="Q32" s="4">
        <f t="shared" si="4"/>
        <v>13463.573343197786</v>
      </c>
      <c r="R32" s="4">
        <f t="shared" si="4"/>
        <v>13708.496042718965</v>
      </c>
      <c r="S32" s="4">
        <f t="shared" si="4"/>
        <v>13708.496042718965</v>
      </c>
      <c r="T32" s="4">
        <f t="shared" si="4"/>
        <v>13708.496042718965</v>
      </c>
      <c r="U32" s="4">
        <f t="shared" si="4"/>
        <v>13708.496042718965</v>
      </c>
      <c r="V32" s="4">
        <f t="shared" si="4"/>
        <v>13708.496042718965</v>
      </c>
      <c r="W32" s="4">
        <f t="shared" si="4"/>
        <v>13708.496042718965</v>
      </c>
      <c r="X32" s="4">
        <f t="shared" si="4"/>
        <v>13708.496042718965</v>
      </c>
      <c r="Y32" s="4">
        <f t="shared" si="4"/>
        <v>13708.496042718965</v>
      </c>
    </row>
    <row r="33" spans="1:25" x14ac:dyDescent="0.25">
      <c r="A33" s="79"/>
      <c r="B33" s="79"/>
      <c r="C33" s="79"/>
      <c r="D33" s="79"/>
    </row>
    <row r="34" spans="1:25" x14ac:dyDescent="0.25">
      <c r="A34" s="74" t="s">
        <v>120</v>
      </c>
      <c r="B34" s="74"/>
      <c r="C34" s="74"/>
      <c r="D34" s="74"/>
      <c r="F34" s="4">
        <f>IF(F9&lt;&gt;"",IF(F32&gt;0,F32*VAT,0),"")</f>
        <v>1801.3944064078446</v>
      </c>
      <c r="G34" s="4">
        <f t="shared" ref="G34:Y34" si="5">IF(G9&lt;&gt;"",IF(G32&gt;0,G32*VAT,0),"")</f>
        <v>1811.955819927402</v>
      </c>
      <c r="H34" s="4">
        <f t="shared" si="5"/>
        <v>1823.7846030693067</v>
      </c>
      <c r="I34" s="4">
        <f t="shared" si="5"/>
        <v>1837.03284018824</v>
      </c>
      <c r="J34" s="4">
        <f t="shared" si="5"/>
        <v>1851.8708657614447</v>
      </c>
      <c r="K34" s="4">
        <f t="shared" si="5"/>
        <v>1868.4894544034346</v>
      </c>
      <c r="L34" s="4">
        <f t="shared" si="5"/>
        <v>1887.1022736824627</v>
      </c>
      <c r="M34" s="4">
        <f t="shared" si="5"/>
        <v>1907.9486312749746</v>
      </c>
      <c r="N34" s="4">
        <f t="shared" si="5"/>
        <v>1931.2965517785881</v>
      </c>
      <c r="O34" s="4">
        <f t="shared" si="5"/>
        <v>1957.446222742635</v>
      </c>
      <c r="P34" s="4">
        <f t="shared" si="5"/>
        <v>1986.7338542223672</v>
      </c>
      <c r="Q34" s="4">
        <f t="shared" si="5"/>
        <v>2019.5360014796679</v>
      </c>
      <c r="R34" s="4">
        <f t="shared" si="5"/>
        <v>2056.2744064078447</v>
      </c>
      <c r="S34" s="4">
        <f t="shared" si="5"/>
        <v>2056.2744064078447</v>
      </c>
      <c r="T34" s="4">
        <f t="shared" si="5"/>
        <v>2056.2744064078447</v>
      </c>
      <c r="U34" s="4">
        <f t="shared" si="5"/>
        <v>2056.2744064078447</v>
      </c>
      <c r="V34" s="4">
        <f t="shared" si="5"/>
        <v>2056.2744064078447</v>
      </c>
      <c r="W34" s="4">
        <f t="shared" si="5"/>
        <v>2056.2744064078447</v>
      </c>
      <c r="X34" s="4">
        <f t="shared" si="5"/>
        <v>2056.2744064078447</v>
      </c>
      <c r="Y34" s="4">
        <f t="shared" si="5"/>
        <v>2056.2744064078447</v>
      </c>
    </row>
    <row r="35" spans="1:25" x14ac:dyDescent="0.25">
      <c r="A35" s="67" t="s">
        <v>121</v>
      </c>
      <c r="B35" s="67"/>
      <c r="C35" s="67"/>
      <c r="D35" s="67"/>
      <c r="E35" s="4"/>
      <c r="F35" s="4">
        <f>IF(F9&lt;&gt;"",F32-F34,"")</f>
        <v>10207.90163631112</v>
      </c>
      <c r="G35" s="4">
        <f t="shared" ref="G35:Y35" si="6">IF(G9&lt;&gt;"",G32-G34,"")</f>
        <v>10267.749646255279</v>
      </c>
      <c r="H35" s="4">
        <f t="shared" si="6"/>
        <v>10334.779417392738</v>
      </c>
      <c r="I35" s="4">
        <f t="shared" si="6"/>
        <v>10409.852761066693</v>
      </c>
      <c r="J35" s="4">
        <f t="shared" si="6"/>
        <v>10493.934905981521</v>
      </c>
      <c r="K35" s="4">
        <f t="shared" si="6"/>
        <v>10588.10690828613</v>
      </c>
      <c r="L35" s="4">
        <f t="shared" si="6"/>
        <v>10693.579550867289</v>
      </c>
      <c r="M35" s="4">
        <f t="shared" si="6"/>
        <v>10811.708910558191</v>
      </c>
      <c r="N35" s="4">
        <f t="shared" si="6"/>
        <v>10944.013793411999</v>
      </c>
      <c r="O35" s="4">
        <f t="shared" si="6"/>
        <v>11092.195262208264</v>
      </c>
      <c r="P35" s="4">
        <f t="shared" si="6"/>
        <v>11258.158507260081</v>
      </c>
      <c r="Q35" s="4">
        <f t="shared" si="6"/>
        <v>11444.037341718118</v>
      </c>
      <c r="R35" s="4">
        <f t="shared" si="6"/>
        <v>11652.22163631112</v>
      </c>
      <c r="S35" s="4">
        <f t="shared" si="6"/>
        <v>11652.22163631112</v>
      </c>
      <c r="T35" s="4">
        <f t="shared" si="6"/>
        <v>11652.22163631112</v>
      </c>
      <c r="U35" s="4">
        <f t="shared" si="6"/>
        <v>11652.22163631112</v>
      </c>
      <c r="V35" s="4">
        <f t="shared" si="6"/>
        <v>11652.22163631112</v>
      </c>
      <c r="W35" s="4">
        <f t="shared" si="6"/>
        <v>11652.22163631112</v>
      </c>
      <c r="X35" s="4">
        <f t="shared" si="6"/>
        <v>11652.22163631112</v>
      </c>
      <c r="Y35" s="4">
        <f t="shared" si="6"/>
        <v>11652.22163631112</v>
      </c>
    </row>
    <row r="37" spans="1:25" x14ac:dyDescent="0.25">
      <c r="A37" s="42" t="s">
        <v>179</v>
      </c>
      <c r="E37" s="4">
        <f>-SUM(E11:E13)</f>
        <v>-26160</v>
      </c>
      <c r="F37" s="4">
        <f t="shared" ref="F37:Y37" si="7">+F19+F31-F34</f>
        <v>8473.7620343722956</v>
      </c>
      <c r="G37" s="4">
        <f t="shared" si="7"/>
        <v>8452.6392073331808</v>
      </c>
      <c r="H37" s="4">
        <f t="shared" si="7"/>
        <v>8428.9816410493713</v>
      </c>
      <c r="I37" s="4">
        <f t="shared" si="7"/>
        <v>8402.4851668115043</v>
      </c>
      <c r="J37" s="4">
        <f t="shared" si="7"/>
        <v>8372.8091156650953</v>
      </c>
      <c r="K37" s="4">
        <f t="shared" si="7"/>
        <v>8339.5719383811156</v>
      </c>
      <c r="L37" s="4">
        <f t="shared" si="7"/>
        <v>8302.3462998230589</v>
      </c>
      <c r="M37" s="4">
        <f t="shared" si="7"/>
        <v>8260.6535846380357</v>
      </c>
      <c r="N37" s="4">
        <f t="shared" si="7"/>
        <v>8213.9577436308082</v>
      </c>
      <c r="O37" s="4">
        <f t="shared" si="7"/>
        <v>8161.6584017027153</v>
      </c>
      <c r="P37" s="4">
        <f t="shared" si="7"/>
        <v>8103.0831387432509</v>
      </c>
      <c r="Q37" s="4">
        <f t="shared" si="7"/>
        <v>8037.4788442286481</v>
      </c>
      <c r="R37" s="4">
        <f t="shared" si="7"/>
        <v>10249.947229903275</v>
      </c>
      <c r="S37" s="4">
        <f t="shared" si="7"/>
        <v>10249.947229903275</v>
      </c>
      <c r="T37" s="4">
        <f t="shared" si="7"/>
        <v>10249.947229903275</v>
      </c>
      <c r="U37" s="4">
        <f t="shared" si="7"/>
        <v>10249.947229903275</v>
      </c>
      <c r="V37" s="4">
        <f t="shared" si="7"/>
        <v>10249.947229903275</v>
      </c>
      <c r="W37" s="4">
        <f t="shared" si="7"/>
        <v>10249.947229903275</v>
      </c>
      <c r="X37" s="4">
        <f t="shared" si="7"/>
        <v>10249.947229903275</v>
      </c>
      <c r="Y37" s="4">
        <f t="shared" si="7"/>
        <v>10249.947229903275</v>
      </c>
    </row>
    <row r="38" spans="1:25" x14ac:dyDescent="0.25">
      <c r="A38" s="42" t="s">
        <v>180</v>
      </c>
      <c r="E38" s="4">
        <f>+E37</f>
        <v>-26160</v>
      </c>
      <c r="F38" s="4">
        <f>+E38+F37</f>
        <v>-17686.237965627704</v>
      </c>
      <c r="G38" s="4">
        <f t="shared" ref="G38:Y38" si="8">+F38+G37</f>
        <v>-9233.5987582945236</v>
      </c>
      <c r="H38" s="4">
        <f t="shared" si="8"/>
        <v>-804.61711724515226</v>
      </c>
      <c r="I38" s="4">
        <f t="shared" si="8"/>
        <v>7597.8680495663521</v>
      </c>
      <c r="J38" s="4">
        <f t="shared" si="8"/>
        <v>15970.677165231447</v>
      </c>
      <c r="K38" s="4">
        <f t="shared" si="8"/>
        <v>24310.249103612565</v>
      </c>
      <c r="L38" s="4">
        <f t="shared" si="8"/>
        <v>32612.595403435625</v>
      </c>
      <c r="M38" s="4">
        <f t="shared" si="8"/>
        <v>40873.248988073661</v>
      </c>
      <c r="N38" s="4">
        <f t="shared" si="8"/>
        <v>49087.206731704471</v>
      </c>
      <c r="O38" s="4">
        <f t="shared" si="8"/>
        <v>57248.865133407184</v>
      </c>
      <c r="P38" s="4">
        <f t="shared" si="8"/>
        <v>65351.948272150432</v>
      </c>
      <c r="Q38" s="4">
        <f t="shared" si="8"/>
        <v>73389.427116379084</v>
      </c>
      <c r="R38" s="4">
        <f t="shared" si="8"/>
        <v>83639.374346282362</v>
      </c>
      <c r="S38" s="4">
        <f t="shared" si="8"/>
        <v>93889.321576185641</v>
      </c>
      <c r="T38" s="4">
        <f t="shared" si="8"/>
        <v>104139.26880608892</v>
      </c>
      <c r="U38" s="4">
        <f t="shared" si="8"/>
        <v>114389.2160359922</v>
      </c>
      <c r="V38" s="4">
        <f t="shared" si="8"/>
        <v>124639.16326589548</v>
      </c>
      <c r="W38" s="4">
        <f t="shared" si="8"/>
        <v>134889.11049579876</v>
      </c>
      <c r="X38" s="4">
        <f t="shared" si="8"/>
        <v>145139.05772570203</v>
      </c>
      <c r="Y38" s="4">
        <f t="shared" si="8"/>
        <v>155389.00495560531</v>
      </c>
    </row>
    <row r="39" spans="1:25" x14ac:dyDescent="0.25">
      <c r="A39" s="21"/>
    </row>
    <row r="40" spans="1:25" x14ac:dyDescent="0.25">
      <c r="A40" s="42" t="s">
        <v>64</v>
      </c>
      <c r="E40" s="10">
        <f>+PomTab1!L25</f>
        <v>6.9411314984709482E-2</v>
      </c>
    </row>
    <row r="41" spans="1:25" x14ac:dyDescent="0.25">
      <c r="A41" s="42" t="s">
        <v>181</v>
      </c>
      <c r="E41" s="4">
        <f t="shared" ref="E41:Y41" si="9">IF(E9&lt;&gt;"",E37*(1+$E$40)^-E9,"")</f>
        <v>-26160</v>
      </c>
      <c r="F41" s="4">
        <f t="shared" si="9"/>
        <v>7923.7632103167462</v>
      </c>
      <c r="G41" s="4">
        <f t="shared" si="9"/>
        <v>7390.9928507349641</v>
      </c>
      <c r="H41" s="4">
        <f t="shared" si="9"/>
        <v>6891.9288183609524</v>
      </c>
      <c r="I41" s="4">
        <f t="shared" si="9"/>
        <v>6424.3420356747911</v>
      </c>
      <c r="J41" s="4">
        <f t="shared" si="9"/>
        <v>5986.1461506920368</v>
      </c>
      <c r="K41" s="4">
        <f t="shared" si="9"/>
        <v>5575.3881807157377</v>
      </c>
      <c r="L41" s="4">
        <f t="shared" si="9"/>
        <v>5190.2397589907359</v>
      </c>
      <c r="M41" s="4">
        <f t="shared" si="9"/>
        <v>4828.988944921216</v>
      </c>
      <c r="N41" s="4">
        <f t="shared" si="9"/>
        <v>4490.0325610560612</v>
      </c>
      <c r="O41" s="4">
        <f t="shared" si="9"/>
        <v>4171.8690224245483</v>
      </c>
      <c r="P41" s="4">
        <f t="shared" si="9"/>
        <v>3873.091626028091</v>
      </c>
      <c r="Q41" s="4">
        <f t="shared" si="9"/>
        <v>3592.3822703720866</v>
      </c>
      <c r="R41" s="4">
        <f t="shared" si="9"/>
        <v>4283.9022855665025</v>
      </c>
      <c r="S41" s="4">
        <f t="shared" si="9"/>
        <v>4005.8509065127619</v>
      </c>
      <c r="T41" s="4">
        <f t="shared" si="9"/>
        <v>3745.8467573536359</v>
      </c>
      <c r="U41" s="4">
        <f t="shared" si="9"/>
        <v>3502.718462827554</v>
      </c>
      <c r="V41" s="4">
        <f t="shared" si="9"/>
        <v>3275.3706770697822</v>
      </c>
      <c r="W41" s="4">
        <f t="shared" si="9"/>
        <v>3062.7791488409803</v>
      </c>
      <c r="X41" s="4">
        <f t="shared" si="9"/>
        <v>2863.9861070525258</v>
      </c>
      <c r="Y41" s="4">
        <f t="shared" si="9"/>
        <v>2678.0959457993713</v>
      </c>
    </row>
    <row r="42" spans="1:25" x14ac:dyDescent="0.25">
      <c r="A42" s="42" t="s">
        <v>182</v>
      </c>
      <c r="E42" s="4">
        <f>+E41</f>
        <v>-26160</v>
      </c>
      <c r="F42" s="4">
        <f>+E42+F41</f>
        <v>-18236.236789683255</v>
      </c>
      <c r="G42" s="4">
        <f t="shared" ref="G42:Y42" si="10">+F42+G41</f>
        <v>-10845.24393894829</v>
      </c>
      <c r="H42" s="4">
        <f t="shared" si="10"/>
        <v>-3953.3151205873373</v>
      </c>
      <c r="I42" s="4">
        <f t="shared" si="10"/>
        <v>2471.0269150874537</v>
      </c>
      <c r="J42" s="4">
        <f t="shared" si="10"/>
        <v>8457.1730657794906</v>
      </c>
      <c r="K42" s="4">
        <f t="shared" si="10"/>
        <v>14032.561246495228</v>
      </c>
      <c r="L42" s="4">
        <f t="shared" si="10"/>
        <v>19222.801005485962</v>
      </c>
      <c r="M42" s="4">
        <f t="shared" si="10"/>
        <v>24051.789950407179</v>
      </c>
      <c r="N42" s="4">
        <f t="shared" si="10"/>
        <v>28541.822511463241</v>
      </c>
      <c r="O42" s="4">
        <f t="shared" si="10"/>
        <v>32713.691533887788</v>
      </c>
      <c r="P42" s="4">
        <f t="shared" si="10"/>
        <v>36586.783159915882</v>
      </c>
      <c r="Q42" s="4">
        <f t="shared" si="10"/>
        <v>40179.165430287969</v>
      </c>
      <c r="R42" s="4">
        <f t="shared" si="10"/>
        <v>44463.067715854471</v>
      </c>
      <c r="S42" s="4">
        <f t="shared" si="10"/>
        <v>48468.91862236723</v>
      </c>
      <c r="T42" s="4">
        <f t="shared" si="10"/>
        <v>52214.765379720862</v>
      </c>
      <c r="U42" s="4">
        <f t="shared" si="10"/>
        <v>55717.483842548419</v>
      </c>
      <c r="V42" s="4">
        <f t="shared" si="10"/>
        <v>58992.854519618202</v>
      </c>
      <c r="W42" s="4">
        <f t="shared" si="10"/>
        <v>62055.633668459181</v>
      </c>
      <c r="X42" s="4">
        <f t="shared" si="10"/>
        <v>64919.619775511703</v>
      </c>
      <c r="Y42" s="4">
        <f t="shared" si="10"/>
        <v>67597.715721311077</v>
      </c>
    </row>
    <row r="43" spans="1:25" x14ac:dyDescent="0.25">
      <c r="A43" s="42"/>
    </row>
    <row r="44" spans="1:25" x14ac:dyDescent="0.25">
      <c r="A44" s="43" t="s">
        <v>183</v>
      </c>
      <c r="B44" s="44"/>
      <c r="C44" s="44"/>
      <c r="D44" s="44"/>
      <c r="E44" s="45">
        <f>+NPV(E40,E37:Y37)</f>
        <v>63210.211799823352</v>
      </c>
      <c r="F44" s="44"/>
    </row>
    <row r="45" spans="1:25" x14ac:dyDescent="0.25">
      <c r="A45" s="43" t="s">
        <v>184</v>
      </c>
      <c r="B45" s="44"/>
      <c r="C45" s="44"/>
      <c r="D45" s="44"/>
      <c r="E45" s="46">
        <f>+IRR(E37:Y37,10)</f>
        <v>0.32206292959664484</v>
      </c>
      <c r="F45" s="44"/>
    </row>
    <row r="46" spans="1:25" x14ac:dyDescent="0.25">
      <c r="A46" s="43" t="s">
        <v>185</v>
      </c>
      <c r="B46" s="44"/>
      <c r="C46" s="44"/>
      <c r="D46" s="44"/>
      <c r="E46" s="45" cm="1">
        <f t="array" ref="E46">+NPV(E40,E19:X19/-NPV(E40,E31:Y31))</f>
        <v>2.0860805081043288</v>
      </c>
      <c r="F46" s="44"/>
    </row>
    <row r="47" spans="1:25" x14ac:dyDescent="0.25">
      <c r="A47" s="43" t="s">
        <v>186</v>
      </c>
      <c r="B47" s="44"/>
      <c r="C47" s="44"/>
      <c r="D47" s="44"/>
      <c r="E47" s="44" cm="1">
        <f t="array" ref="E47">+LOOKUP(INDEX(E37:Y37,MATCH(TRUE,E38:Y38&gt;0,0)),E38:Y38,E9:Y9)</f>
        <v>4</v>
      </c>
      <c r="F47" s="44" t="s">
        <v>187</v>
      </c>
    </row>
    <row r="48" spans="1:25" x14ac:dyDescent="0.25">
      <c r="A48" s="43" t="s">
        <v>188</v>
      </c>
      <c r="B48" s="44"/>
      <c r="C48" s="44"/>
      <c r="D48" s="44"/>
      <c r="E48" s="44" cm="1">
        <f t="array" ref="E48">+LOOKUP(INDEX(E42:Y42,MATCH(TRUE,E42:Y42&gt;0,0)),E42:Y42,E9:Y9)</f>
        <v>4</v>
      </c>
      <c r="F48" s="44" t="s">
        <v>187</v>
      </c>
    </row>
    <row r="51" spans="1:26" x14ac:dyDescent="0.25">
      <c r="A51" s="38" t="s">
        <v>171</v>
      </c>
      <c r="B51" s="38"/>
      <c r="C51" s="38"/>
      <c r="D51" s="38"/>
      <c r="E51" s="4">
        <f>IF(E9&lt;&gt;"",E31,"")</f>
        <v>-26160</v>
      </c>
      <c r="F51" s="4">
        <f>IF(F9&lt;&gt;"",F31,"")</f>
        <v>-5262.6374329189766</v>
      </c>
      <c r="G51" s="4">
        <f t="shared" ref="G51:Y51" si="11">IF(G9&lt;&gt;"",G31,"")</f>
        <v>-5273.198846438534</v>
      </c>
      <c r="H51" s="4">
        <f t="shared" si="11"/>
        <v>-5285.0276295804379</v>
      </c>
      <c r="I51" s="4">
        <f t="shared" si="11"/>
        <v>-5298.2758666993714</v>
      </c>
      <c r="J51" s="4">
        <f t="shared" si="11"/>
        <v>-5313.1138922725768</v>
      </c>
      <c r="K51" s="4">
        <f t="shared" si="11"/>
        <v>-5329.7324809145666</v>
      </c>
      <c r="L51" s="4">
        <f t="shared" si="11"/>
        <v>-5348.3453001935941</v>
      </c>
      <c r="M51" s="4">
        <f t="shared" si="11"/>
        <v>-5369.1916577861066</v>
      </c>
      <c r="N51" s="4">
        <f t="shared" si="11"/>
        <v>-5392.5395782897194</v>
      </c>
      <c r="O51" s="4">
        <f t="shared" si="11"/>
        <v>-5418.6892492537663</v>
      </c>
      <c r="P51" s="4">
        <f t="shared" si="11"/>
        <v>-5447.9768807334985</v>
      </c>
      <c r="Q51" s="4">
        <f t="shared" si="11"/>
        <v>-5480.7790279907995</v>
      </c>
      <c r="R51" s="4">
        <f t="shared" si="11"/>
        <v>-3231.5722373879962</v>
      </c>
      <c r="S51" s="4">
        <f t="shared" si="11"/>
        <v>-3231.5722373879962</v>
      </c>
      <c r="T51" s="4">
        <f t="shared" si="11"/>
        <v>-3231.5722373879962</v>
      </c>
      <c r="U51" s="4">
        <f t="shared" si="11"/>
        <v>-3231.5722373879962</v>
      </c>
      <c r="V51" s="4">
        <f t="shared" si="11"/>
        <v>-3231.5722373879962</v>
      </c>
      <c r="W51" s="4">
        <f t="shared" si="11"/>
        <v>-3231.5722373879962</v>
      </c>
      <c r="X51" s="4">
        <f t="shared" si="11"/>
        <v>-3231.5722373879962</v>
      </c>
      <c r="Y51" s="4">
        <f t="shared" si="11"/>
        <v>-3231.5722373879962</v>
      </c>
      <c r="Z51" s="4"/>
    </row>
    <row r="52" spans="1:26" x14ac:dyDescent="0.25">
      <c r="A52" s="38" t="s">
        <v>172</v>
      </c>
      <c r="B52" s="38"/>
      <c r="C52" s="38"/>
      <c r="D52" s="38"/>
      <c r="E52" s="4">
        <f>IF(E9&lt;&gt;"",E51*(1+$E$40)^-'FinInd+CO2'!E9,"")</f>
        <v>-26160</v>
      </c>
      <c r="F52" s="4">
        <f>IF(F9&lt;&gt;"",F51*(1+$E$40)^-'FinInd+CO2'!F9,"")</f>
        <v>-4921.060175049879</v>
      </c>
      <c r="G52" s="4">
        <f>IF(G9&lt;&gt;"",G51*(1+$E$40)^-'FinInd+CO2'!G9,"")</f>
        <v>-4610.8882703426625</v>
      </c>
      <c r="H52" s="4">
        <f>IF(H9&lt;&gt;"",H51*(1+$E$40)^-'FinInd+CO2'!H9,"")</f>
        <v>-4321.285272322014</v>
      </c>
      <c r="I52" s="4">
        <f>IF(I9&lt;&gt;"",I51*(1+$E$40)^-'FinInd+CO2'!I9,"")</f>
        <v>-4050.9367992082339</v>
      </c>
      <c r="J52" s="4">
        <f>IF(J9&lt;&gt;"",J51*(1+$E$40)^-'FinInd+CO2'!J9,"")</f>
        <v>-3798.6147582070407</v>
      </c>
      <c r="K52" s="4">
        <f>IF(K9&lt;&gt;"",K51*(1+$E$40)^-'FinInd+CO2'!K9,"")</f>
        <v>-3563.1717910735119</v>
      </c>
      <c r="L52" s="4">
        <f>IF(L9&lt;&gt;"",L51*(1+$E$40)^-'FinInd+CO2'!L9,"")</f>
        <v>-3343.5360823804281</v>
      </c>
      <c r="M52" s="4">
        <f>IF(M9&lt;&gt;"",M51*(1+$E$40)^-'FinInd+CO2'!M9,"")</f>
        <v>-3138.706507052786</v>
      </c>
      <c r="N52" s="4">
        <f>IF(N9&lt;&gt;"",N51*(1+$E$40)^-'FinInd+CO2'!N9,"")</f>
        <v>-2947.7480952564106</v>
      </c>
      <c r="O52" s="4">
        <f>IF(O9&lt;&gt;"",O51*(1+$E$40)^-'FinInd+CO2'!O9,"")</f>
        <v>-2769.7877941559718</v>
      </c>
      <c r="P52" s="4">
        <f>IF(P9&lt;&gt;"",P51*(1+$E$40)^-'FinInd+CO2'!P9,"")</f>
        <v>-2604.0105073926393</v>
      </c>
      <c r="Q52" s="4">
        <f>IF(Q9&lt;&gt;"",Q51*(1+$E$40)^-'FinInd+CO2'!Q9,"")</f>
        <v>-2449.6553943801828</v>
      </c>
      <c r="R52" s="4">
        <f>IF(R9&lt;&gt;"",R51*(1+$E$40)^-'FinInd+CO2'!R9,"")</f>
        <v>-1350.6157039844909</v>
      </c>
      <c r="S52" s="4">
        <f>IF(S9&lt;&gt;"",S51*(1+$E$40)^-'FinInd+CO2'!S9,"")</f>
        <v>-1262.952509534465</v>
      </c>
      <c r="T52" s="4">
        <f>IF(T9&lt;&gt;"",T51*(1+$E$40)^-'FinInd+CO2'!T9,"")</f>
        <v>-1180.9791909229264</v>
      </c>
      <c r="U52" s="4">
        <f>IF(U9&lt;&gt;"",U51*(1+$E$40)^-'FinInd+CO2'!U9,"")</f>
        <v>-1104.3264405144355</v>
      </c>
      <c r="V52" s="4">
        <f>IF(V9&lt;&gt;"",V51*(1+$E$40)^-'FinInd+CO2'!V9,"")</f>
        <v>-1032.6489209909148</v>
      </c>
      <c r="W52" s="4">
        <f>IF(W9&lt;&gt;"",W51*(1+$E$40)^-'FinInd+CO2'!W9,"")</f>
        <v>-965.62370953189281</v>
      </c>
      <c r="X52" s="4">
        <f>IF(X9&lt;&gt;"",X51*(1+$E$40)^-'FinInd+CO2'!X9,"")</f>
        <v>-902.94884297694148</v>
      </c>
      <c r="Y52" s="4">
        <f>IF(Y9&lt;&gt;"",Y51*(1+$E$40)^-'FinInd+CO2'!Y9,"")</f>
        <v>-844.34195741593737</v>
      </c>
      <c r="Z52" s="4"/>
    </row>
    <row r="53" spans="1:26" x14ac:dyDescent="0.25">
      <c r="A53" s="38" t="s">
        <v>173</v>
      </c>
      <c r="B53" s="38"/>
      <c r="C53" s="38"/>
      <c r="D53" s="38"/>
      <c r="E53" s="4">
        <f>IF(E9&lt;&gt;"",D53+E52,"")</f>
        <v>-26160</v>
      </c>
      <c r="F53" s="4">
        <f>IF(F9&lt;&gt;"",E53+F52,"")</f>
        <v>-31081.060175049879</v>
      </c>
      <c r="G53" s="4">
        <f t="shared" ref="G53:Y53" si="12">IF(G9&lt;&gt;"",F53+G52,"")</f>
        <v>-35691.94844539254</v>
      </c>
      <c r="H53" s="4">
        <f t="shared" si="12"/>
        <v>-40013.233717714553</v>
      </c>
      <c r="I53" s="4">
        <f t="shared" si="12"/>
        <v>-44064.170516922786</v>
      </c>
      <c r="J53" s="4">
        <f t="shared" si="12"/>
        <v>-47862.785275129827</v>
      </c>
      <c r="K53" s="4">
        <f t="shared" si="12"/>
        <v>-51425.957066203337</v>
      </c>
      <c r="L53" s="4">
        <f t="shared" si="12"/>
        <v>-54769.493148583766</v>
      </c>
      <c r="M53" s="4">
        <f t="shared" si="12"/>
        <v>-57908.199655636548</v>
      </c>
      <c r="N53" s="4">
        <f t="shared" si="12"/>
        <v>-60855.947750892956</v>
      </c>
      <c r="O53" s="4">
        <f t="shared" si="12"/>
        <v>-63625.735545048927</v>
      </c>
      <c r="P53" s="4">
        <f t="shared" si="12"/>
        <v>-66229.746052441566</v>
      </c>
      <c r="Q53" s="4">
        <f t="shared" si="12"/>
        <v>-68679.40144682175</v>
      </c>
      <c r="R53" s="4">
        <f t="shared" si="12"/>
        <v>-70030.017150806234</v>
      </c>
      <c r="S53" s="4">
        <f t="shared" si="12"/>
        <v>-71292.969660340692</v>
      </c>
      <c r="T53" s="4">
        <f t="shared" si="12"/>
        <v>-72473.948851263616</v>
      </c>
      <c r="U53" s="4">
        <f t="shared" si="12"/>
        <v>-73578.275291778045</v>
      </c>
      <c r="V53" s="4">
        <f t="shared" si="12"/>
        <v>-74610.924212768965</v>
      </c>
      <c r="W53" s="4">
        <f t="shared" si="12"/>
        <v>-75576.547922300859</v>
      </c>
      <c r="X53" s="4">
        <f t="shared" si="12"/>
        <v>-76479.4967652778</v>
      </c>
      <c r="Y53" s="4">
        <f t="shared" si="12"/>
        <v>-77323.838722693734</v>
      </c>
    </row>
    <row r="54" spans="1:26" x14ac:dyDescent="0.25">
      <c r="A54" s="38" t="s">
        <v>174</v>
      </c>
      <c r="B54" s="38"/>
      <c r="C54" s="38"/>
      <c r="D54" s="38"/>
      <c r="F54" s="4">
        <f t="shared" ref="F54:Y54" si="13">IF(F9&lt;&gt;"",F19,"")</f>
        <v>15537.793873699116</v>
      </c>
      <c r="G54" s="4">
        <f t="shared" si="13"/>
        <v>15537.793873699116</v>
      </c>
      <c r="H54" s="4">
        <f t="shared" si="13"/>
        <v>15537.793873699116</v>
      </c>
      <c r="I54" s="4">
        <f t="shared" si="13"/>
        <v>15537.793873699116</v>
      </c>
      <c r="J54" s="4">
        <f t="shared" si="13"/>
        <v>15537.793873699116</v>
      </c>
      <c r="K54" s="4">
        <f t="shared" si="13"/>
        <v>15537.793873699116</v>
      </c>
      <c r="L54" s="4">
        <f t="shared" si="13"/>
        <v>15537.793873699116</v>
      </c>
      <c r="M54" s="4">
        <f t="shared" si="13"/>
        <v>15537.793873699116</v>
      </c>
      <c r="N54" s="4">
        <f t="shared" si="13"/>
        <v>15537.793873699116</v>
      </c>
      <c r="O54" s="4">
        <f t="shared" si="13"/>
        <v>15537.793873699116</v>
      </c>
      <c r="P54" s="4">
        <f t="shared" si="13"/>
        <v>15537.793873699116</v>
      </c>
      <c r="Q54" s="4">
        <f t="shared" si="13"/>
        <v>15537.793873699116</v>
      </c>
      <c r="R54" s="4">
        <f t="shared" si="13"/>
        <v>15537.793873699116</v>
      </c>
      <c r="S54" s="4">
        <f t="shared" si="13"/>
        <v>15537.793873699116</v>
      </c>
      <c r="T54" s="4">
        <f t="shared" si="13"/>
        <v>15537.793873699116</v>
      </c>
      <c r="U54" s="4">
        <f t="shared" si="13"/>
        <v>15537.793873699116</v>
      </c>
      <c r="V54" s="4">
        <f t="shared" si="13"/>
        <v>15537.793873699116</v>
      </c>
      <c r="W54" s="4">
        <f t="shared" si="13"/>
        <v>15537.793873699116</v>
      </c>
      <c r="X54" s="4">
        <f t="shared" si="13"/>
        <v>15537.793873699116</v>
      </c>
      <c r="Y54" s="4">
        <f t="shared" si="13"/>
        <v>15537.793873699116</v>
      </c>
    </row>
    <row r="55" spans="1:26" x14ac:dyDescent="0.25">
      <c r="A55" s="38" t="s">
        <v>175</v>
      </c>
      <c r="B55" s="38"/>
      <c r="C55" s="38"/>
      <c r="D55" s="38"/>
      <c r="F55" s="4">
        <f>IF(F9&lt;&gt;"",F54*(1+$E$40)^-F9,"")</f>
        <v>14529.296310953354</v>
      </c>
      <c r="G55" s="4">
        <f>IF(G9&lt;&gt;"",G54*(1+UnosPodataka!N15)^-G9,"")</f>
        <v>15537.793873699116</v>
      </c>
      <c r="H55" s="4">
        <f>IF(H9&lt;&gt;"",H54*(1+UnosPodataka!O15)^-H9,"")</f>
        <v>15537.793873699116</v>
      </c>
      <c r="I55" s="4">
        <f>IF(I9&lt;&gt;"",I54*(1+UnosPodataka!P15)^-I9,"")</f>
        <v>15537.793873699116</v>
      </c>
      <c r="J55" s="4">
        <f>IF(J9&lt;&gt;"",J54*(1+UnosPodataka!Q15)^-J9,"")</f>
        <v>15537.793873699116</v>
      </c>
      <c r="K55" s="4">
        <f>IF(K9&lt;&gt;"",K54*(1+UnosPodataka!R15)^-K9,"")</f>
        <v>15537.793873699116</v>
      </c>
      <c r="L55" s="4">
        <f>IF(L9&lt;&gt;"",L54*(1+UnosPodataka!S15)^-L9,"")</f>
        <v>15537.793873699116</v>
      </c>
      <c r="M55" s="4">
        <f>IF(M9&lt;&gt;"",M54*(1+UnosPodataka!T15)^-M9,"")</f>
        <v>15537.793873699116</v>
      </c>
      <c r="N55" s="4">
        <f>IF(N9&lt;&gt;"",N54*(1+UnosPodataka!U15)^-N9,"")</f>
        <v>15537.793873699116</v>
      </c>
      <c r="O55" s="4">
        <f>IF(O9&lt;&gt;"",O54*(1+UnosPodataka!V15)^-O9,"")</f>
        <v>15537.793873699116</v>
      </c>
      <c r="P55" s="4">
        <f>IF(P9&lt;&gt;"",P54*(1+UnosPodataka!W15)^-P9,"")</f>
        <v>15537.793873699116</v>
      </c>
      <c r="Q55" s="4">
        <f>IF(Q9&lt;&gt;"",Q54*(1+UnosPodataka!X15)^-Q9,"")</f>
        <v>15537.793873699116</v>
      </c>
      <c r="R55" s="4">
        <f>IF(R9&lt;&gt;"",R54*(1+UnosPodataka!Y15)^-R9,"")</f>
        <v>15537.793873699116</v>
      </c>
      <c r="S55" s="4">
        <f>IF(S9&lt;&gt;"",S54*(1+UnosPodataka!Z15)^-S9,"")</f>
        <v>15537.793873699116</v>
      </c>
      <c r="T55" s="4">
        <f>IF(T9&lt;&gt;"",T54*(1+UnosPodataka!AA15)^-T9,"")</f>
        <v>15537.793873699116</v>
      </c>
      <c r="U55" s="4">
        <f>IF(U9&lt;&gt;"",U54*(1+UnosPodataka!AB15)^-U9,"")</f>
        <v>15537.793873699116</v>
      </c>
      <c r="V55" s="4">
        <f>IF(V9&lt;&gt;"",V54*(1+UnosPodataka!AC15)^-V9,"")</f>
        <v>15537.793873699116</v>
      </c>
      <c r="W55" s="4">
        <f>IF(W9&lt;&gt;"",W54*(1+UnosPodataka!AD15)^-W9,"")</f>
        <v>15537.793873699116</v>
      </c>
      <c r="X55" s="4">
        <f>IF(X9&lt;&gt;"",X54*(1+UnosPodataka!AE15)^-X9,"")</f>
        <v>15537.793873699116</v>
      </c>
      <c r="Y55" s="4">
        <f>IF(Y9&lt;&gt;"",Y54*(1+UnosPodataka!AF15)^-Y9,"")</f>
        <v>15537.793873699116</v>
      </c>
    </row>
    <row r="56" spans="1:26" x14ac:dyDescent="0.25">
      <c r="A56" s="38" t="s">
        <v>176</v>
      </c>
      <c r="B56" s="38"/>
      <c r="C56" s="38"/>
      <c r="D56" s="38"/>
      <c r="F56" s="4">
        <f t="shared" ref="F56:Y56" si="14">IF(F9&lt;&gt;"",E56+F55,"")</f>
        <v>14529.296310953354</v>
      </c>
      <c r="G56" s="4">
        <f t="shared" si="14"/>
        <v>30067.090184652472</v>
      </c>
      <c r="H56" s="4">
        <f t="shared" si="14"/>
        <v>45604.884058351585</v>
      </c>
      <c r="I56" s="4">
        <f t="shared" si="14"/>
        <v>61142.677932050705</v>
      </c>
      <c r="J56" s="4">
        <f t="shared" si="14"/>
        <v>76680.471805749825</v>
      </c>
      <c r="K56" s="4">
        <f t="shared" si="14"/>
        <v>92218.265679448945</v>
      </c>
      <c r="L56" s="4">
        <f t="shared" si="14"/>
        <v>107756.05955314806</v>
      </c>
      <c r="M56" s="4">
        <f t="shared" si="14"/>
        <v>123293.85342684718</v>
      </c>
      <c r="N56" s="4">
        <f t="shared" si="14"/>
        <v>138831.64730054629</v>
      </c>
      <c r="O56" s="4">
        <f t="shared" si="14"/>
        <v>154369.44117424541</v>
      </c>
      <c r="P56" s="4">
        <f t="shared" si="14"/>
        <v>169907.23504794453</v>
      </c>
      <c r="Q56" s="4">
        <f t="shared" si="14"/>
        <v>185445.02892164365</v>
      </c>
      <c r="R56" s="4">
        <f t="shared" si="14"/>
        <v>200982.82279534277</v>
      </c>
      <c r="S56" s="4">
        <f t="shared" si="14"/>
        <v>216520.61666904189</v>
      </c>
      <c r="T56" s="4">
        <f t="shared" si="14"/>
        <v>232058.41054274101</v>
      </c>
      <c r="U56" s="4">
        <f t="shared" si="14"/>
        <v>247596.20441644013</v>
      </c>
      <c r="V56" s="4">
        <f t="shared" si="14"/>
        <v>263133.99829013925</v>
      </c>
      <c r="W56" s="4">
        <f t="shared" si="14"/>
        <v>278671.79216383834</v>
      </c>
      <c r="X56" s="4">
        <f t="shared" si="14"/>
        <v>294209.58603753743</v>
      </c>
      <c r="Y56" s="4">
        <f t="shared" si="14"/>
        <v>309747.37991123652</v>
      </c>
    </row>
    <row r="57" spans="1:26" x14ac:dyDescent="0.25">
      <c r="A57" s="38" t="s">
        <v>177</v>
      </c>
      <c r="B57" s="38"/>
      <c r="C57" s="38"/>
      <c r="D57" s="38"/>
      <c r="F57" s="4">
        <f t="shared" ref="F57:Y57" si="15">IF(F9&lt;&gt;"",F56+F53,"")</f>
        <v>-16551.763864096523</v>
      </c>
      <c r="G57" s="4">
        <f t="shared" si="15"/>
        <v>-5624.8582607400676</v>
      </c>
      <c r="H57" s="4">
        <f t="shared" si="15"/>
        <v>5591.6503406370321</v>
      </c>
      <c r="I57" s="4">
        <f t="shared" si="15"/>
        <v>17078.507415127919</v>
      </c>
      <c r="J57" s="4">
        <f t="shared" si="15"/>
        <v>28817.686530619998</v>
      </c>
      <c r="K57" s="4">
        <f t="shared" si="15"/>
        <v>40792.308613245608</v>
      </c>
      <c r="L57" s="4">
        <f t="shared" si="15"/>
        <v>52986.566404564299</v>
      </c>
      <c r="M57" s="4">
        <f t="shared" si="15"/>
        <v>65385.653771210636</v>
      </c>
      <c r="N57" s="4">
        <f t="shared" si="15"/>
        <v>77975.699549653335</v>
      </c>
      <c r="O57" s="4">
        <f t="shared" si="15"/>
        <v>90743.705629196484</v>
      </c>
      <c r="P57" s="4">
        <f t="shared" si="15"/>
        <v>103677.48899550296</v>
      </c>
      <c r="Q57" s="4">
        <f t="shared" si="15"/>
        <v>116765.6274748219</v>
      </c>
      <c r="R57" s="4">
        <f t="shared" si="15"/>
        <v>130952.80564453654</v>
      </c>
      <c r="S57" s="4">
        <f t="shared" si="15"/>
        <v>145227.6470087012</v>
      </c>
      <c r="T57" s="4">
        <f t="shared" si="15"/>
        <v>159584.46169147739</v>
      </c>
      <c r="U57" s="4">
        <f t="shared" si="15"/>
        <v>174017.92912466207</v>
      </c>
      <c r="V57" s="4">
        <f t="shared" si="15"/>
        <v>188523.07407737029</v>
      </c>
      <c r="W57" s="4">
        <f t="shared" si="15"/>
        <v>203095.24424153747</v>
      </c>
      <c r="X57" s="4">
        <f t="shared" si="15"/>
        <v>217730.08927225962</v>
      </c>
      <c r="Y57" s="4">
        <f t="shared" si="15"/>
        <v>232423.54118854279</v>
      </c>
    </row>
    <row r="58" spans="1:26" x14ac:dyDescent="0.25">
      <c r="A58" s="41" t="s">
        <v>178</v>
      </c>
      <c r="B58" s="41"/>
      <c r="C58" s="41"/>
      <c r="D58" s="41"/>
      <c r="E58" s="44"/>
      <c r="F58" s="47">
        <f>-F51/F14</f>
        <v>29.209164866257858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60" spans="1:26" x14ac:dyDescent="0.25">
      <c r="A60" s="74" t="s">
        <v>122</v>
      </c>
      <c r="B60" s="74"/>
      <c r="C60" s="74"/>
      <c r="D60" s="74"/>
      <c r="E60" s="4">
        <f>E11</f>
        <v>14160</v>
      </c>
      <c r="F60" s="4">
        <f t="shared" ref="F60:Y60" si="16">IF(F9="",E60,-F53)</f>
        <v>31081.060175049879</v>
      </c>
      <c r="G60" s="4">
        <f t="shared" si="16"/>
        <v>35691.94844539254</v>
      </c>
      <c r="H60" s="4">
        <f t="shared" si="16"/>
        <v>40013.233717714553</v>
      </c>
      <c r="I60" s="4">
        <f t="shared" si="16"/>
        <v>44064.170516922786</v>
      </c>
      <c r="J60" s="4">
        <f t="shared" si="16"/>
        <v>47862.785275129827</v>
      </c>
      <c r="K60" s="4">
        <f t="shared" si="16"/>
        <v>51425.957066203337</v>
      </c>
      <c r="L60" s="4">
        <f t="shared" si="16"/>
        <v>54769.493148583766</v>
      </c>
      <c r="M60" s="4">
        <f t="shared" si="16"/>
        <v>57908.199655636548</v>
      </c>
      <c r="N60" s="4">
        <f t="shared" si="16"/>
        <v>60855.947750892956</v>
      </c>
      <c r="O60" s="4">
        <f t="shared" si="16"/>
        <v>63625.735545048927</v>
      </c>
      <c r="P60" s="4">
        <f t="shared" si="16"/>
        <v>66229.746052441566</v>
      </c>
      <c r="Q60" s="4">
        <f t="shared" si="16"/>
        <v>68679.40144682175</v>
      </c>
      <c r="R60" s="4">
        <f t="shared" si="16"/>
        <v>70030.017150806234</v>
      </c>
      <c r="S60" s="4">
        <f t="shared" si="16"/>
        <v>71292.969660340692</v>
      </c>
      <c r="T60" s="4">
        <f t="shared" si="16"/>
        <v>72473.948851263616</v>
      </c>
      <c r="U60" s="4">
        <f t="shared" si="16"/>
        <v>73578.275291778045</v>
      </c>
      <c r="V60" s="4">
        <f t="shared" si="16"/>
        <v>74610.924212768965</v>
      </c>
      <c r="W60" s="4">
        <f t="shared" si="16"/>
        <v>75576.547922300859</v>
      </c>
      <c r="X60" s="4">
        <f t="shared" si="16"/>
        <v>76479.4967652778</v>
      </c>
      <c r="Y60" s="4">
        <f t="shared" si="16"/>
        <v>77323.838722693734</v>
      </c>
    </row>
    <row r="61" spans="1:26" x14ac:dyDescent="0.25">
      <c r="A61" s="74" t="s">
        <v>123</v>
      </c>
      <c r="B61" s="74"/>
      <c r="C61" s="74"/>
      <c r="D61" s="74"/>
      <c r="F61" s="4">
        <f t="shared" ref="F61:Y61" si="17">IF(F9="",E61,F56)</f>
        <v>14529.296310953354</v>
      </c>
      <c r="G61" s="4">
        <f t="shared" si="17"/>
        <v>30067.090184652472</v>
      </c>
      <c r="H61" s="4">
        <f t="shared" si="17"/>
        <v>45604.884058351585</v>
      </c>
      <c r="I61" s="4">
        <f t="shared" si="17"/>
        <v>61142.677932050705</v>
      </c>
      <c r="J61" s="4">
        <f t="shared" si="17"/>
        <v>76680.471805749825</v>
      </c>
      <c r="K61" s="4">
        <f t="shared" si="17"/>
        <v>92218.265679448945</v>
      </c>
      <c r="L61" s="4">
        <f t="shared" si="17"/>
        <v>107756.05955314806</v>
      </c>
      <c r="M61" s="4">
        <f t="shared" si="17"/>
        <v>123293.85342684718</v>
      </c>
      <c r="N61" s="4">
        <f t="shared" si="17"/>
        <v>138831.64730054629</v>
      </c>
      <c r="O61" s="4">
        <f t="shared" si="17"/>
        <v>154369.44117424541</v>
      </c>
      <c r="P61" s="4">
        <f t="shared" si="17"/>
        <v>169907.23504794453</v>
      </c>
      <c r="Q61" s="4">
        <f t="shared" si="17"/>
        <v>185445.02892164365</v>
      </c>
      <c r="R61" s="4">
        <f t="shared" si="17"/>
        <v>200982.82279534277</v>
      </c>
      <c r="S61" s="4">
        <f t="shared" si="17"/>
        <v>216520.61666904189</v>
      </c>
      <c r="T61" s="4">
        <f t="shared" si="17"/>
        <v>232058.41054274101</v>
      </c>
      <c r="U61" s="4">
        <f t="shared" si="17"/>
        <v>247596.20441644013</v>
      </c>
      <c r="V61" s="4">
        <f t="shared" si="17"/>
        <v>263133.99829013925</v>
      </c>
      <c r="W61" s="4">
        <f t="shared" si="17"/>
        <v>278671.79216383834</v>
      </c>
      <c r="X61" s="4">
        <f t="shared" si="17"/>
        <v>294209.58603753743</v>
      </c>
      <c r="Y61" s="4">
        <f t="shared" si="17"/>
        <v>309747.37991123652</v>
      </c>
    </row>
  </sheetData>
  <sheetProtection selectLockedCells="1"/>
  <mergeCells count="28">
    <mergeCell ref="A19:D19"/>
    <mergeCell ref="A20:D20"/>
    <mergeCell ref="A22:D22"/>
    <mergeCell ref="A24:D24"/>
    <mergeCell ref="A25:D25"/>
    <mergeCell ref="E3:H3"/>
    <mergeCell ref="A14:D14"/>
    <mergeCell ref="A7:D7"/>
    <mergeCell ref="A9:D9"/>
    <mergeCell ref="A11:D11"/>
    <mergeCell ref="A12:D12"/>
    <mergeCell ref="A13:D13"/>
    <mergeCell ref="N7:O7"/>
    <mergeCell ref="A61:D61"/>
    <mergeCell ref="A18:D18"/>
    <mergeCell ref="A60:D60"/>
    <mergeCell ref="A33:D33"/>
    <mergeCell ref="A34:D34"/>
    <mergeCell ref="A35:D35"/>
    <mergeCell ref="A26:D26"/>
    <mergeCell ref="A28:D28"/>
    <mergeCell ref="A29:D29"/>
    <mergeCell ref="A32:D32"/>
    <mergeCell ref="I7:J7"/>
    <mergeCell ref="A16:D16"/>
    <mergeCell ref="A21:D21"/>
    <mergeCell ref="A27:D27"/>
    <mergeCell ref="A17:D17"/>
  </mergeCells>
  <dataValidations disablePrompts="1"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I12"/>
  <sheetViews>
    <sheetView workbookViewId="0">
      <selection activeCell="G5" sqref="G5"/>
    </sheetView>
  </sheetViews>
  <sheetFormatPr defaultRowHeight="15" x14ac:dyDescent="0.25"/>
  <sheetData>
    <row r="3" spans="1:9" ht="16.5" x14ac:dyDescent="0.35">
      <c r="F3" s="64" t="s">
        <v>159</v>
      </c>
      <c r="G3" s="64"/>
      <c r="H3" s="64"/>
      <c r="I3" s="64"/>
    </row>
    <row r="7" spans="1:9" ht="15" customHeight="1" x14ac:dyDescent="0.25">
      <c r="A7" s="66" t="s">
        <v>128</v>
      </c>
      <c r="B7" s="66"/>
      <c r="C7" s="66"/>
      <c r="D7" s="66"/>
    </row>
    <row r="8" spans="1:9" ht="15" customHeight="1" x14ac:dyDescent="0.25">
      <c r="A8" s="66"/>
      <c r="B8" s="66"/>
      <c r="C8" s="66"/>
      <c r="D8" s="66"/>
    </row>
    <row r="9" spans="1:9" x14ac:dyDescent="0.25">
      <c r="A9" s="66"/>
      <c r="B9" s="66"/>
      <c r="C9" s="66"/>
      <c r="D9" s="66"/>
    </row>
    <row r="11" spans="1:9" x14ac:dyDescent="0.25">
      <c r="A11" s="82" t="s">
        <v>139</v>
      </c>
      <c r="B11" s="82"/>
      <c r="C11" s="69" t="s">
        <v>140</v>
      </c>
      <c r="D11" s="69"/>
    </row>
    <row r="12" spans="1:9" x14ac:dyDescent="0.25">
      <c r="A12" s="82"/>
      <c r="B12" s="82"/>
      <c r="C12" s="69"/>
      <c r="D12" s="69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8</vt:i4>
      </vt:variant>
    </vt:vector>
  </HeadingPairs>
  <TitlesOfParts>
    <vt:vector size="24" baseType="lpstr">
      <vt:lpstr>Pocetna</vt:lpstr>
      <vt:lpstr>KonvFaktor</vt:lpstr>
      <vt:lpstr>PomTab1</vt:lpstr>
      <vt:lpstr>UnosPodataka</vt:lpstr>
      <vt:lpstr>Ustede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EQUITY</vt:lpstr>
      <vt:lpstr>FIRR</vt:lpstr>
      <vt:lpstr>FNPV</vt:lpstr>
      <vt:lpstr>Investment</vt:lpstr>
      <vt:lpstr>LCoEE</vt:lpstr>
      <vt:lpstr>LOAN</vt:lpstr>
      <vt:lpstr>PROJEKAT</vt:lpstr>
      <vt:lpstr>VARIJANTA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2023-07-21T08:04:06Z</dcterms:modified>
</cp:coreProperties>
</file>