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3" activeTab="14"/>
  </bookViews>
  <sheets>
    <sheet name="Pocetna" sheetId="1" r:id="rId1"/>
    <sheet name="KonvFaktor" sheetId="17" r:id="rId2"/>
    <sheet name="PomTab1" sheetId="4" r:id="rId3"/>
    <sheet name="UnosPodataka" sheetId="2" r:id="rId4"/>
    <sheet name="Ustede" sheetId="5" r:id="rId5"/>
    <sheet name="Anuiteti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definedNames>
    <definedName name="CARBON">UnosPodataka!$M$13</definedName>
    <definedName name="CirkP">Ustede!$F$13</definedName>
    <definedName name="EFAKTOR">UnosPodataka!$M$23</definedName>
    <definedName name="ElEn">Ustede!$F$10</definedName>
    <definedName name="Equity">UnosPodataka!$F$26</definedName>
    <definedName name="etagrid">Ustede!$F$15</definedName>
    <definedName name="FINPV">FinaIndicators!#REF!</definedName>
    <definedName name="FIRR">FinaIndicators!#REF!</definedName>
    <definedName name="Gorivo">UnosPodataka!$M$22</definedName>
    <definedName name="InfRate" comment="Inflacija">0</definedName>
    <definedName name="Investment">UnosPodataka!$F$19</definedName>
    <definedName name="Kurs_EUR" comment="Obračunski kurs EUR na dan 11-4-2023">117.288</definedName>
    <definedName name="Kurs_USD" comment="Obračunski kurs USD na dan 19-5-2022">111.5072</definedName>
    <definedName name="LCo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C18" i="17" l="1"/>
  <c r="E17" i="17"/>
  <c r="E16" i="17"/>
  <c r="E15" i="17"/>
  <c r="E14" i="17"/>
  <c r="E13" i="17"/>
  <c r="E12" i="17"/>
  <c r="E18" i="17" l="1"/>
  <c r="E21" i="17" s="1"/>
  <c r="P39" i="4" s="1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19" i="2"/>
  <c r="J11" i="9" l="1"/>
  <c r="K23" i="4" l="1"/>
  <c r="M23" i="2" l="1"/>
  <c r="E12" i="16" l="1"/>
  <c r="E9" i="16"/>
  <c r="F25" i="7" l="1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F26" i="9" l="1"/>
  <c r="F17" i="5" l="1"/>
  <c r="F18" i="5" s="1"/>
  <c r="F10" i="12" l="1"/>
  <c r="G10" i="12" s="1"/>
  <c r="G9" i="9"/>
  <c r="E12" i="9"/>
  <c r="G9" i="7"/>
  <c r="E12" i="7"/>
  <c r="F26" i="7" l="1"/>
  <c r="F27" i="9"/>
  <c r="G27" i="9"/>
  <c r="G26" i="7"/>
  <c r="F25" i="9"/>
  <c r="F24" i="7"/>
  <c r="H10" i="12"/>
  <c r="G25" i="7"/>
  <c r="E10" i="16"/>
  <c r="F12" i="12"/>
  <c r="H9" i="9"/>
  <c r="G26" i="9"/>
  <c r="G24" i="7"/>
  <c r="G17" i="9"/>
  <c r="G28" i="9" s="1"/>
  <c r="G25" i="9"/>
  <c r="F17" i="7"/>
  <c r="F27" i="7" s="1"/>
  <c r="F12" i="14" s="1"/>
  <c r="F14" i="9"/>
  <c r="F17" i="9"/>
  <c r="F28" i="9" s="1"/>
  <c r="F14" i="7"/>
  <c r="F16" i="12" s="1"/>
  <c r="G14" i="9"/>
  <c r="H9" i="7"/>
  <c r="G14" i="7"/>
  <c r="G16" i="12" s="1"/>
  <c r="G17" i="7"/>
  <c r="G27" i="7" s="1"/>
  <c r="G12" i="14" s="1"/>
  <c r="G13" i="14" s="1"/>
  <c r="H27" i="9" l="1"/>
  <c r="H26" i="7"/>
  <c r="H14" i="9"/>
  <c r="H25" i="9"/>
  <c r="H17" i="9"/>
  <c r="H28" i="9" s="1"/>
  <c r="F13" i="14"/>
  <c r="H25" i="7"/>
  <c r="I10" i="12"/>
  <c r="I9" i="9"/>
  <c r="H26" i="9"/>
  <c r="I9" i="7"/>
  <c r="H24" i="7"/>
  <c r="H17" i="7"/>
  <c r="H27" i="7" s="1"/>
  <c r="H12" i="14" s="1"/>
  <c r="H13" i="14" s="1"/>
  <c r="H14" i="7"/>
  <c r="H16" i="12" s="1"/>
  <c r="I27" i="9" l="1"/>
  <c r="I26" i="7"/>
  <c r="J10" i="12"/>
  <c r="I25" i="7"/>
  <c r="J9" i="9"/>
  <c r="I26" i="9"/>
  <c r="I25" i="9"/>
  <c r="I17" i="9"/>
  <c r="I28" i="9" s="1"/>
  <c r="I14" i="9"/>
  <c r="J9" i="7"/>
  <c r="I17" i="7"/>
  <c r="I27" i="7" s="1"/>
  <c r="I14" i="7"/>
  <c r="I16" i="12" s="1"/>
  <c r="I24" i="7"/>
  <c r="J27" i="9" l="1"/>
  <c r="J26" i="7"/>
  <c r="I12" i="14"/>
  <c r="J25" i="7"/>
  <c r="K10" i="12"/>
  <c r="K9" i="9"/>
  <c r="J26" i="9"/>
  <c r="J25" i="9"/>
  <c r="J14" i="9"/>
  <c r="J17" i="9"/>
  <c r="J28" i="9" s="1"/>
  <c r="K9" i="7"/>
  <c r="J24" i="7"/>
  <c r="J17" i="7"/>
  <c r="J27" i="7" s="1"/>
  <c r="J12" i="14" s="1"/>
  <c r="J13" i="14" s="1"/>
  <c r="J14" i="7"/>
  <c r="J16" i="12" s="1"/>
  <c r="K27" i="9" l="1"/>
  <c r="K26" i="7"/>
  <c r="L10" i="12"/>
  <c r="I13" i="14"/>
  <c r="K25" i="7"/>
  <c r="L9" i="9"/>
  <c r="K26" i="9"/>
  <c r="K25" i="9"/>
  <c r="K17" i="9"/>
  <c r="K28" i="9" s="1"/>
  <c r="K14" i="9"/>
  <c r="L9" i="7"/>
  <c r="K24" i="7"/>
  <c r="K17" i="7"/>
  <c r="K27" i="7" s="1"/>
  <c r="K12" i="14" s="1"/>
  <c r="K13" i="14" s="1"/>
  <c r="K14" i="7"/>
  <c r="K16" i="12" s="1"/>
  <c r="L27" i="9" l="1"/>
  <c r="L26" i="7"/>
  <c r="L25" i="7"/>
  <c r="M10" i="12"/>
  <c r="M9" i="9"/>
  <c r="L26" i="9"/>
  <c r="L14" i="9"/>
  <c r="L25" i="9"/>
  <c r="L17" i="9"/>
  <c r="L28" i="9" s="1"/>
  <c r="M9" i="7"/>
  <c r="L24" i="7"/>
  <c r="L17" i="7"/>
  <c r="L27" i="7" s="1"/>
  <c r="L14" i="7"/>
  <c r="L16" i="12" s="1"/>
  <c r="M27" i="9" l="1"/>
  <c r="M26" i="7"/>
  <c r="L12" i="14"/>
  <c r="M25" i="7"/>
  <c r="N10" i="12"/>
  <c r="N9" i="9"/>
  <c r="M26" i="9"/>
  <c r="M25" i="9"/>
  <c r="M17" i="9"/>
  <c r="M28" i="9" s="1"/>
  <c r="M14" i="9"/>
  <c r="N9" i="7"/>
  <c r="M24" i="7"/>
  <c r="M17" i="7"/>
  <c r="M27" i="7" s="1"/>
  <c r="M12" i="14" s="1"/>
  <c r="M13" i="14" s="1"/>
  <c r="M14" i="7"/>
  <c r="M16" i="12" s="1"/>
  <c r="N27" i="9" l="1"/>
  <c r="N26" i="7"/>
  <c r="O10" i="12"/>
  <c r="L13" i="14"/>
  <c r="N25" i="7"/>
  <c r="O9" i="9"/>
  <c r="N26" i="9"/>
  <c r="N25" i="9"/>
  <c r="N22" i="9"/>
  <c r="N14" i="9"/>
  <c r="N17" i="9"/>
  <c r="N28" i="9" s="1"/>
  <c r="O9" i="7"/>
  <c r="N24" i="7"/>
  <c r="N17" i="7"/>
  <c r="N27" i="7" s="1"/>
  <c r="N12" i="14" s="1"/>
  <c r="N13" i="14" s="1"/>
  <c r="N14" i="7"/>
  <c r="N16" i="12" s="1"/>
  <c r="N21" i="7"/>
  <c r="O27" i="9" l="1"/>
  <c r="O26" i="7"/>
  <c r="O25" i="7"/>
  <c r="P10" i="12"/>
  <c r="P9" i="9"/>
  <c r="O26" i="9"/>
  <c r="O17" i="9"/>
  <c r="O28" i="9" s="1"/>
  <c r="O25" i="9"/>
  <c r="O14" i="9"/>
  <c r="O22" i="9"/>
  <c r="P9" i="7"/>
  <c r="O24" i="7"/>
  <c r="O21" i="7"/>
  <c r="O17" i="7"/>
  <c r="O27" i="7" s="1"/>
  <c r="O12" i="14" s="1"/>
  <c r="O13" i="14" s="1"/>
  <c r="O14" i="7"/>
  <c r="O16" i="12" s="1"/>
  <c r="P27" i="9" l="1"/>
  <c r="P26" i="7"/>
  <c r="Q10" i="12"/>
  <c r="P25" i="7"/>
  <c r="Q9" i="9"/>
  <c r="P26" i="9"/>
  <c r="P14" i="9"/>
  <c r="P17" i="9"/>
  <c r="P28" i="9" s="1"/>
  <c r="P25" i="9"/>
  <c r="P22" i="9"/>
  <c r="Q9" i="7"/>
  <c r="P24" i="7"/>
  <c r="P21" i="7"/>
  <c r="P17" i="7"/>
  <c r="P27" i="7" s="1"/>
  <c r="P12" i="14" s="1"/>
  <c r="P13" i="14" s="1"/>
  <c r="P14" i="7"/>
  <c r="P16" i="12" s="1"/>
  <c r="Q27" i="9" l="1"/>
  <c r="Q26" i="7"/>
  <c r="R10" i="12"/>
  <c r="Q25" i="7"/>
  <c r="R9" i="9"/>
  <c r="Q26" i="9"/>
  <c r="Q22" i="9"/>
  <c r="Q14" i="9"/>
  <c r="Q25" i="9"/>
  <c r="Q17" i="9"/>
  <c r="Q28" i="9" s="1"/>
  <c r="R9" i="7"/>
  <c r="Q24" i="7"/>
  <c r="Q17" i="7"/>
  <c r="Q27" i="7" s="1"/>
  <c r="Q12" i="14" s="1"/>
  <c r="Q13" i="14" s="1"/>
  <c r="Q14" i="7"/>
  <c r="Q16" i="12" s="1"/>
  <c r="Q21" i="7"/>
  <c r="R27" i="9" l="1"/>
  <c r="R26" i="7"/>
  <c r="S10" i="12"/>
  <c r="R25" i="7"/>
  <c r="S9" i="9"/>
  <c r="R26" i="9"/>
  <c r="R25" i="9"/>
  <c r="R17" i="9"/>
  <c r="R28" i="9" s="1"/>
  <c r="R22" i="9"/>
  <c r="R14" i="9"/>
  <c r="S9" i="7"/>
  <c r="R24" i="7"/>
  <c r="R17" i="7"/>
  <c r="R27" i="7" s="1"/>
  <c r="R12" i="14" s="1"/>
  <c r="R13" i="14" s="1"/>
  <c r="R14" i="7"/>
  <c r="R16" i="12" s="1"/>
  <c r="R21" i="7"/>
  <c r="S27" i="9" l="1"/>
  <c r="S26" i="7"/>
  <c r="S25" i="7"/>
  <c r="T10" i="12"/>
  <c r="T9" i="9"/>
  <c r="S26" i="9"/>
  <c r="S14" i="9"/>
  <c r="S22" i="9"/>
  <c r="S25" i="9"/>
  <c r="S17" i="9"/>
  <c r="S28" i="9" s="1"/>
  <c r="T9" i="7"/>
  <c r="S24" i="7"/>
  <c r="S21" i="7"/>
  <c r="S17" i="7"/>
  <c r="S27" i="7" s="1"/>
  <c r="S12" i="14" s="1"/>
  <c r="S13" i="14" s="1"/>
  <c r="S14" i="7"/>
  <c r="S16" i="12" s="1"/>
  <c r="T27" i="9" l="1"/>
  <c r="T26" i="7"/>
  <c r="U10" i="12"/>
  <c r="T25" i="7"/>
  <c r="U9" i="9"/>
  <c r="T26" i="9"/>
  <c r="T17" i="9"/>
  <c r="T28" i="9" s="1"/>
  <c r="T14" i="9"/>
  <c r="T25" i="9"/>
  <c r="T22" i="9"/>
  <c r="U9" i="7"/>
  <c r="T24" i="7"/>
  <c r="T21" i="7"/>
  <c r="T17" i="7"/>
  <c r="T27" i="7" s="1"/>
  <c r="T14" i="7"/>
  <c r="T16" i="12" s="1"/>
  <c r="U27" i="9" l="1"/>
  <c r="U26" i="7"/>
  <c r="T12" i="14"/>
  <c r="T13" i="14" s="1"/>
  <c r="U25" i="7"/>
  <c r="V10" i="12"/>
  <c r="V9" i="9"/>
  <c r="U26" i="9"/>
  <c r="U22" i="9"/>
  <c r="U14" i="9"/>
  <c r="U25" i="9"/>
  <c r="U17" i="9"/>
  <c r="U28" i="9" s="1"/>
  <c r="V9" i="7"/>
  <c r="U21" i="7"/>
  <c r="U24" i="7"/>
  <c r="U17" i="7"/>
  <c r="U27" i="7" s="1"/>
  <c r="U12" i="14" s="1"/>
  <c r="U13" i="14" s="1"/>
  <c r="U14" i="7"/>
  <c r="U16" i="12" s="1"/>
  <c r="V27" i="9" l="1"/>
  <c r="V26" i="7"/>
  <c r="W10" i="12"/>
  <c r="V25" i="7"/>
  <c r="W9" i="9"/>
  <c r="V26" i="9"/>
  <c r="V25" i="9"/>
  <c r="V17" i="9"/>
  <c r="V28" i="9" s="1"/>
  <c r="V22" i="9"/>
  <c r="V14" i="9"/>
  <c r="W9" i="7"/>
  <c r="V24" i="7"/>
  <c r="V17" i="7"/>
  <c r="V27" i="7" s="1"/>
  <c r="V12" i="14" s="1"/>
  <c r="V13" i="14" s="1"/>
  <c r="V14" i="7"/>
  <c r="V16" i="12" s="1"/>
  <c r="V21" i="7"/>
  <c r="W27" i="9" l="1"/>
  <c r="W26" i="7"/>
  <c r="X10" i="12"/>
  <c r="W25" i="7"/>
  <c r="X9" i="9"/>
  <c r="W26" i="9"/>
  <c r="W14" i="9"/>
  <c r="W22" i="9"/>
  <c r="W25" i="9"/>
  <c r="W17" i="9"/>
  <c r="W28" i="9" s="1"/>
  <c r="X9" i="7"/>
  <c r="W24" i="7"/>
  <c r="W21" i="7"/>
  <c r="W17" i="7"/>
  <c r="W27" i="7" s="1"/>
  <c r="W12" i="14" s="1"/>
  <c r="W13" i="14" s="1"/>
  <c r="W14" i="7"/>
  <c r="W16" i="12" s="1"/>
  <c r="X27" i="9" l="1"/>
  <c r="X26" i="7"/>
  <c r="X25" i="7"/>
  <c r="Y10" i="12"/>
  <c r="Y9" i="9"/>
  <c r="X26" i="9"/>
  <c r="X25" i="9"/>
  <c r="X22" i="9"/>
  <c r="X14" i="9"/>
  <c r="X17" i="9"/>
  <c r="X28" i="9" s="1"/>
  <c r="Y9" i="7"/>
  <c r="X24" i="7"/>
  <c r="X21" i="7"/>
  <c r="X17" i="7"/>
  <c r="X27" i="7" s="1"/>
  <c r="X12" i="14" s="1"/>
  <c r="X13" i="14" s="1"/>
  <c r="X14" i="7"/>
  <c r="X16" i="12" s="1"/>
  <c r="Y27" i="9" l="1"/>
  <c r="Y26" i="7"/>
  <c r="Y25" i="7"/>
  <c r="Y26" i="9"/>
  <c r="Y22" i="9"/>
  <c r="Y25" i="9"/>
  <c r="Y17" i="9"/>
  <c r="Y28" i="9" s="1"/>
  <c r="Y14" i="9"/>
  <c r="Y17" i="7"/>
  <c r="Y27" i="7" s="1"/>
  <c r="Y12" i="14" s="1"/>
  <c r="Y14" i="7"/>
  <c r="Y16" i="12" s="1"/>
  <c r="Y24" i="7"/>
  <c r="Y21" i="7"/>
  <c r="Y13" i="14" l="1"/>
  <c r="E15" i="14"/>
  <c r="F24" i="9"/>
  <c r="G24" i="9" l="1"/>
  <c r="H24" i="9" l="1"/>
  <c r="I24" i="9"/>
  <c r="J24" i="9" l="1"/>
  <c r="K24" i="9" l="1"/>
  <c r="L24" i="9" l="1"/>
  <c r="M24" i="9" l="1"/>
  <c r="N24" i="9" l="1"/>
  <c r="N29" i="9" s="1"/>
  <c r="O24" i="9" l="1"/>
  <c r="O29" i="9" s="1"/>
  <c r="P24" i="9" l="1"/>
  <c r="P29" i="9" s="1"/>
  <c r="Q24" i="9" l="1"/>
  <c r="Q29" i="9" s="1"/>
  <c r="R24" i="9" l="1"/>
  <c r="R29" i="9" s="1"/>
  <c r="S24" i="9" l="1"/>
  <c r="S29" i="9" s="1"/>
  <c r="T24" i="9" l="1"/>
  <c r="T29" i="9" s="1"/>
  <c r="U24" i="9" l="1"/>
  <c r="U29" i="9" s="1"/>
  <c r="V24" i="9" l="1"/>
  <c r="V29" i="9" s="1"/>
  <c r="W24" i="9" l="1"/>
  <c r="W29" i="9" s="1"/>
  <c r="X24" i="9" l="1"/>
  <c r="X29" i="9" s="1"/>
  <c r="Y24" i="9" l="1"/>
  <c r="Y29" i="9" s="1"/>
  <c r="F23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3" i="7" l="1"/>
  <c r="H23" i="7" l="1"/>
  <c r="I23" i="7" l="1"/>
  <c r="J23" i="7" l="1"/>
  <c r="K23" i="7" l="1"/>
  <c r="L23" i="7" l="1"/>
  <c r="M23" i="7" l="1"/>
  <c r="N23" i="7" l="1"/>
  <c r="N28" i="7" s="1"/>
  <c r="O23" i="7" l="1"/>
  <c r="O28" i="7" s="1"/>
  <c r="P23" i="7" l="1"/>
  <c r="P28" i="7" s="1"/>
  <c r="Q23" i="7" l="1"/>
  <c r="Q28" i="7" s="1"/>
  <c r="F19" i="5"/>
  <c r="F18" i="9" s="1"/>
  <c r="G18" i="9" l="1"/>
  <c r="G19" i="9" s="1"/>
  <c r="H18" i="9"/>
  <c r="H19" i="9" s="1"/>
  <c r="F19" i="9"/>
  <c r="I18" i="9"/>
  <c r="I19" i="9" s="1"/>
  <c r="J18" i="9"/>
  <c r="J19" i="9" s="1"/>
  <c r="K18" i="9"/>
  <c r="K19" i="9" s="1"/>
  <c r="L18" i="9"/>
  <c r="L19" i="9" s="1"/>
  <c r="M18" i="9"/>
  <c r="M19" i="9" s="1"/>
  <c r="N18" i="9"/>
  <c r="N19" i="9" s="1"/>
  <c r="O18" i="9"/>
  <c r="O19" i="9" s="1"/>
  <c r="P18" i="9"/>
  <c r="P19" i="9" s="1"/>
  <c r="Q18" i="9"/>
  <c r="Q19" i="9" s="1"/>
  <c r="R18" i="9"/>
  <c r="R19" i="9" s="1"/>
  <c r="S18" i="9"/>
  <c r="S19" i="9" s="1"/>
  <c r="T18" i="9"/>
  <c r="T19" i="9" s="1"/>
  <c r="U18" i="9"/>
  <c r="U19" i="9" s="1"/>
  <c r="V18" i="9"/>
  <c r="V19" i="9" s="1"/>
  <c r="W18" i="9"/>
  <c r="W19" i="9" s="1"/>
  <c r="X18" i="9"/>
  <c r="X19" i="9" s="1"/>
  <c r="Y18" i="9"/>
  <c r="Y19" i="9" s="1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R18" i="7"/>
  <c r="R23" i="7"/>
  <c r="R28" i="7" s="1"/>
  <c r="O18" i="7"/>
  <c r="J18" i="7"/>
  <c r="K18" i="7"/>
  <c r="G18" i="7"/>
  <c r="Q18" i="7"/>
  <c r="P18" i="7"/>
  <c r="F18" i="7"/>
  <c r="M18" i="7"/>
  <c r="L18" i="7"/>
  <c r="N18" i="7"/>
  <c r="I18" i="7"/>
  <c r="H18" i="7"/>
  <c r="F27" i="2"/>
  <c r="B25" i="4"/>
  <c r="F53" i="7" l="1"/>
  <c r="N54" i="9"/>
  <c r="N32" i="9"/>
  <c r="N34" i="9" s="1"/>
  <c r="N31" i="9" s="1"/>
  <c r="U54" i="9"/>
  <c r="U32" i="9"/>
  <c r="M54" i="9"/>
  <c r="X54" i="9"/>
  <c r="X32" i="9"/>
  <c r="P54" i="9"/>
  <c r="P32" i="9"/>
  <c r="P34" i="9" s="1"/>
  <c r="P31" i="9" s="1"/>
  <c r="L54" i="9"/>
  <c r="S54" i="9"/>
  <c r="S32" i="9"/>
  <c r="W54" i="9"/>
  <c r="W32" i="9"/>
  <c r="O54" i="9"/>
  <c r="O32" i="9"/>
  <c r="O34" i="9" s="1"/>
  <c r="O31" i="9" s="1"/>
  <c r="K54" i="9"/>
  <c r="H54" i="9"/>
  <c r="Y54" i="9"/>
  <c r="Y32" i="9"/>
  <c r="Q54" i="9"/>
  <c r="Q32" i="9"/>
  <c r="Q34" i="9" s="1"/>
  <c r="I54" i="9"/>
  <c r="T54" i="9"/>
  <c r="T32" i="9"/>
  <c r="F54" i="9"/>
  <c r="J54" i="9"/>
  <c r="G54" i="9"/>
  <c r="V54" i="9"/>
  <c r="V32" i="9"/>
  <c r="V34" i="9" s="1"/>
  <c r="V31" i="9" s="1"/>
  <c r="R54" i="9"/>
  <c r="R32" i="9"/>
  <c r="R34" i="9" s="1"/>
  <c r="R31" i="9" s="1"/>
  <c r="N53" i="7"/>
  <c r="N31" i="7"/>
  <c r="J53" i="7"/>
  <c r="O53" i="7"/>
  <c r="O31" i="7"/>
  <c r="P53" i="7"/>
  <c r="P31" i="7"/>
  <c r="L53" i="7"/>
  <c r="Q53" i="7"/>
  <c r="Q31" i="7"/>
  <c r="H53" i="7"/>
  <c r="M53" i="7"/>
  <c r="G53" i="7"/>
  <c r="I53" i="7"/>
  <c r="K53" i="7"/>
  <c r="R31" i="7"/>
  <c r="R53" i="7"/>
  <c r="S23" i="7"/>
  <c r="S28" i="7" s="1"/>
  <c r="F29" i="2"/>
  <c r="K24" i="4" s="1"/>
  <c r="T34" i="9" l="1"/>
  <c r="T31" i="9" s="1"/>
  <c r="Q31" i="9"/>
  <c r="Q35" i="9"/>
  <c r="Q37" i="9" s="1"/>
  <c r="V35" i="9"/>
  <c r="V37" i="9" s="1"/>
  <c r="R35" i="9"/>
  <c r="R37" i="9" s="1"/>
  <c r="Y34" i="9"/>
  <c r="Y31" i="9" s="1"/>
  <c r="O35" i="9"/>
  <c r="O37" i="9" s="1"/>
  <c r="W34" i="9"/>
  <c r="W31" i="9" s="1"/>
  <c r="S34" i="9"/>
  <c r="S31" i="9" s="1"/>
  <c r="P35" i="9"/>
  <c r="P37" i="9" s="1"/>
  <c r="X34" i="9"/>
  <c r="X31" i="9" s="1"/>
  <c r="U34" i="9"/>
  <c r="U31" i="9" s="1"/>
  <c r="N35" i="9"/>
  <c r="N37" i="9" s="1"/>
  <c r="P33" i="7"/>
  <c r="P13" i="12" s="1"/>
  <c r="Q33" i="7"/>
  <c r="Q13" i="12" s="1"/>
  <c r="N33" i="7"/>
  <c r="N13" i="12" s="1"/>
  <c r="R33" i="7"/>
  <c r="R13" i="12" s="1"/>
  <c r="O33" i="7"/>
  <c r="O13" i="12" s="1"/>
  <c r="K25" i="4"/>
  <c r="L25" i="4" s="1"/>
  <c r="E13" i="16"/>
  <c r="E11" i="16"/>
  <c r="E9" i="6"/>
  <c r="E11" i="7"/>
  <c r="E11" i="9"/>
  <c r="S18" i="7"/>
  <c r="S31" i="7" s="1"/>
  <c r="T18" i="7"/>
  <c r="T23" i="7"/>
  <c r="T28" i="7" s="1"/>
  <c r="E31" i="9" l="1"/>
  <c r="E51" i="9" s="1"/>
  <c r="E37" i="9"/>
  <c r="E36" i="7"/>
  <c r="E28" i="7"/>
  <c r="E40" i="9"/>
  <c r="R41" i="9" s="1"/>
  <c r="E39" i="7"/>
  <c r="Q34" i="7"/>
  <c r="Q36" i="7" s="1"/>
  <c r="Q30" i="7"/>
  <c r="O34" i="7"/>
  <c r="O36" i="7" s="1"/>
  <c r="O30" i="7"/>
  <c r="P34" i="7"/>
  <c r="P36" i="7" s="1"/>
  <c r="P30" i="7"/>
  <c r="R34" i="7"/>
  <c r="R36" i="7" s="1"/>
  <c r="R30" i="7"/>
  <c r="N34" i="7"/>
  <c r="N36" i="7" s="1"/>
  <c r="N30" i="7"/>
  <c r="T35" i="9"/>
  <c r="T37" i="9" s="1"/>
  <c r="X35" i="9"/>
  <c r="X37" i="9" s="1"/>
  <c r="X41" i="9" s="1"/>
  <c r="W35" i="9"/>
  <c r="W37" i="9" s="1"/>
  <c r="S35" i="9"/>
  <c r="S37" i="9" s="1"/>
  <c r="S41" i="9" s="1"/>
  <c r="U35" i="9"/>
  <c r="U37" i="9" s="1"/>
  <c r="Y35" i="9"/>
  <c r="Y37" i="9" s="1"/>
  <c r="Y41" i="9" s="1"/>
  <c r="T31" i="7"/>
  <c r="S33" i="7"/>
  <c r="S13" i="12" s="1"/>
  <c r="T53" i="7"/>
  <c r="S53" i="7"/>
  <c r="U23" i="7"/>
  <c r="U28" i="7" s="1"/>
  <c r="W41" i="9" l="1"/>
  <c r="N40" i="7"/>
  <c r="P40" i="7"/>
  <c r="Q40" i="7"/>
  <c r="O41" i="9"/>
  <c r="S54" i="7"/>
  <c r="T54" i="7"/>
  <c r="U41" i="9"/>
  <c r="T41" i="9"/>
  <c r="R40" i="7"/>
  <c r="O40" i="7"/>
  <c r="Q41" i="9"/>
  <c r="N41" i="9"/>
  <c r="E52" i="9"/>
  <c r="E53" i="9" s="1"/>
  <c r="E38" i="9"/>
  <c r="E41" i="9"/>
  <c r="E42" i="9" s="1"/>
  <c r="E40" i="7"/>
  <c r="E41" i="7" s="1"/>
  <c r="E37" i="7"/>
  <c r="I54" i="7"/>
  <c r="H54" i="7"/>
  <c r="R54" i="7"/>
  <c r="P54" i="7"/>
  <c r="Q54" i="7"/>
  <c r="M54" i="7"/>
  <c r="G54" i="7"/>
  <c r="J54" i="7"/>
  <c r="N54" i="7"/>
  <c r="O54" i="7"/>
  <c r="F54" i="7"/>
  <c r="F55" i="7" s="1"/>
  <c r="K54" i="7"/>
  <c r="L54" i="7"/>
  <c r="E50" i="7"/>
  <c r="E51" i="7" s="1"/>
  <c r="E30" i="7"/>
  <c r="X55" i="9"/>
  <c r="Q55" i="9"/>
  <c r="N55" i="9"/>
  <c r="T55" i="9"/>
  <c r="L55" i="9"/>
  <c r="I55" i="9"/>
  <c r="U55" i="9"/>
  <c r="F55" i="9"/>
  <c r="F56" i="9" s="1"/>
  <c r="O55" i="9"/>
  <c r="V55" i="9"/>
  <c r="M55" i="9"/>
  <c r="J55" i="9"/>
  <c r="K55" i="9"/>
  <c r="P55" i="9"/>
  <c r="Y55" i="9"/>
  <c r="W55" i="9"/>
  <c r="R55" i="9"/>
  <c r="H55" i="9"/>
  <c r="G55" i="9"/>
  <c r="S55" i="9"/>
  <c r="V41" i="9"/>
  <c r="P41" i="9"/>
  <c r="S34" i="7"/>
  <c r="S36" i="7" s="1"/>
  <c r="S40" i="7" s="1"/>
  <c r="S30" i="7"/>
  <c r="T33" i="7"/>
  <c r="T13" i="12" s="1"/>
  <c r="U18" i="7"/>
  <c r="E16" i="6"/>
  <c r="E52" i="7"/>
  <c r="E59" i="7"/>
  <c r="V18" i="7"/>
  <c r="V23" i="7"/>
  <c r="V28" i="7" s="1"/>
  <c r="G56" i="9" l="1"/>
  <c r="F61" i="9"/>
  <c r="F60" i="7"/>
  <c r="G55" i="7"/>
  <c r="T34" i="7"/>
  <c r="T36" i="7" s="1"/>
  <c r="T40" i="7" s="1"/>
  <c r="T30" i="7"/>
  <c r="V53" i="7"/>
  <c r="V54" i="7" s="1"/>
  <c r="V31" i="7"/>
  <c r="U53" i="7"/>
  <c r="U54" i="7" s="1"/>
  <c r="U31" i="7"/>
  <c r="E60" i="9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E22" i="6"/>
  <c r="E17" i="6"/>
  <c r="E18" i="6"/>
  <c r="E19" i="6"/>
  <c r="E21" i="6"/>
  <c r="E23" i="6"/>
  <c r="E20" i="6"/>
  <c r="W23" i="7"/>
  <c r="W28" i="7" s="1"/>
  <c r="H55" i="7" l="1"/>
  <c r="G60" i="7"/>
  <c r="H56" i="9"/>
  <c r="G61" i="9"/>
  <c r="U33" i="7"/>
  <c r="U13" i="12" s="1"/>
  <c r="V33" i="7"/>
  <c r="V13" i="12" s="1"/>
  <c r="F21" i="7"/>
  <c r="F22" i="9"/>
  <c r="W18" i="7"/>
  <c r="C14" i="6"/>
  <c r="D14" i="6" s="1"/>
  <c r="X23" i="7"/>
  <c r="X28" i="7" s="1"/>
  <c r="I56" i="9" l="1"/>
  <c r="H61" i="9"/>
  <c r="I55" i="7"/>
  <c r="H60" i="7"/>
  <c r="U34" i="7"/>
  <c r="U36" i="7" s="1"/>
  <c r="U40" i="7" s="1"/>
  <c r="U30" i="7"/>
  <c r="V34" i="7"/>
  <c r="V36" i="7" s="1"/>
  <c r="V40" i="7" s="1"/>
  <c r="V30" i="7"/>
  <c r="F29" i="9"/>
  <c r="W53" i="7"/>
  <c r="W54" i="7" s="1"/>
  <c r="W31" i="7"/>
  <c r="G22" i="9"/>
  <c r="G21" i="7"/>
  <c r="C15" i="6"/>
  <c r="D15" i="6" s="1"/>
  <c r="X18" i="7"/>
  <c r="Y23" i="7"/>
  <c r="Y28" i="7" s="1"/>
  <c r="J55" i="7" l="1"/>
  <c r="I60" i="7"/>
  <c r="I61" i="9"/>
  <c r="J56" i="9"/>
  <c r="F32" i="9"/>
  <c r="F34" i="9" s="1"/>
  <c r="F35" i="9" s="1"/>
  <c r="F37" i="9" s="1"/>
  <c r="F51" i="9"/>
  <c r="G29" i="9"/>
  <c r="W33" i="7"/>
  <c r="W13" i="12" s="1"/>
  <c r="G28" i="7"/>
  <c r="X53" i="7"/>
  <c r="X54" i="7" s="1"/>
  <c r="X31" i="7"/>
  <c r="C16" i="6"/>
  <c r="D16" i="6" s="1"/>
  <c r="C17" i="6" s="1"/>
  <c r="D17" i="6" s="1"/>
  <c r="H22" i="9"/>
  <c r="H21" i="7"/>
  <c r="Y18" i="7"/>
  <c r="Y31" i="7" s="1"/>
  <c r="K55" i="7" l="1"/>
  <c r="J60" i="7"/>
  <c r="J61" i="9"/>
  <c r="K56" i="9"/>
  <c r="F38" i="9"/>
  <c r="F41" i="9"/>
  <c r="F42" i="9" s="1"/>
  <c r="W34" i="7"/>
  <c r="W36" i="7" s="1"/>
  <c r="W40" i="7" s="1"/>
  <c r="W30" i="7"/>
  <c r="F52" i="9"/>
  <c r="F53" i="9" s="1"/>
  <c r="F60" i="9" s="1"/>
  <c r="G51" i="9"/>
  <c r="G32" i="9"/>
  <c r="F31" i="9"/>
  <c r="H29" i="9"/>
  <c r="Y33" i="7"/>
  <c r="Y13" i="12" s="1"/>
  <c r="X33" i="7"/>
  <c r="X13" i="12" s="1"/>
  <c r="G31" i="7"/>
  <c r="G50" i="7"/>
  <c r="G51" i="7" s="1"/>
  <c r="H28" i="7"/>
  <c r="J22" i="9"/>
  <c r="J21" i="7"/>
  <c r="I22" i="9"/>
  <c r="I21" i="7"/>
  <c r="Y53" i="7"/>
  <c r="Y54" i="7" s="1"/>
  <c r="C18" i="6"/>
  <c r="D18" i="6" s="1"/>
  <c r="L56" i="9" l="1"/>
  <c r="K61" i="9"/>
  <c r="L55" i="7"/>
  <c r="K60" i="7"/>
  <c r="F57" i="9"/>
  <c r="X34" i="7"/>
  <c r="X36" i="7" s="1"/>
  <c r="X40" i="7" s="1"/>
  <c r="X30" i="7"/>
  <c r="Y34" i="7"/>
  <c r="Y36" i="7" s="1"/>
  <c r="Y40" i="7" s="1"/>
  <c r="Y30" i="7"/>
  <c r="G52" i="9"/>
  <c r="G53" i="9" s="1"/>
  <c r="G34" i="9"/>
  <c r="G31" i="9" s="1"/>
  <c r="H32" i="9"/>
  <c r="H51" i="9"/>
  <c r="I29" i="9"/>
  <c r="J29" i="9"/>
  <c r="G33" i="7"/>
  <c r="G13" i="12" s="1"/>
  <c r="G14" i="12" s="1"/>
  <c r="H31" i="7"/>
  <c r="J28" i="7"/>
  <c r="H50" i="7"/>
  <c r="H51" i="7" s="1"/>
  <c r="I28" i="7"/>
  <c r="K22" i="9"/>
  <c r="K21" i="7"/>
  <c r="C19" i="6"/>
  <c r="D19" i="6" s="1"/>
  <c r="M55" i="7" l="1"/>
  <c r="L60" i="7"/>
  <c r="L61" i="9"/>
  <c r="M56" i="9"/>
  <c r="G60" i="9"/>
  <c r="G57" i="9"/>
  <c r="H52" i="9"/>
  <c r="H53" i="9" s="1"/>
  <c r="G34" i="7"/>
  <c r="G36" i="7" s="1"/>
  <c r="G40" i="7" s="1"/>
  <c r="G30" i="7"/>
  <c r="H34" i="9"/>
  <c r="H31" i="9" s="1"/>
  <c r="I32" i="9"/>
  <c r="J32" i="9"/>
  <c r="G35" i="9"/>
  <c r="G37" i="9" s="1"/>
  <c r="J51" i="9"/>
  <c r="J52" i="9" s="1"/>
  <c r="I51" i="9"/>
  <c r="K29" i="9"/>
  <c r="H33" i="7"/>
  <c r="H13" i="12" s="1"/>
  <c r="H14" i="12" s="1"/>
  <c r="J31" i="7"/>
  <c r="J50" i="7"/>
  <c r="J51" i="7" s="1"/>
  <c r="I31" i="7"/>
  <c r="I50" i="7"/>
  <c r="I51" i="7" s="1"/>
  <c r="K28" i="7"/>
  <c r="L22" i="9"/>
  <c r="L21" i="7"/>
  <c r="C20" i="6"/>
  <c r="D20" i="6" s="1"/>
  <c r="N56" i="9" l="1"/>
  <c r="M61" i="9"/>
  <c r="N55" i="7"/>
  <c r="M60" i="7"/>
  <c r="H57" i="9"/>
  <c r="H60" i="9"/>
  <c r="I52" i="9"/>
  <c r="I53" i="9" s="1"/>
  <c r="H34" i="7"/>
  <c r="H36" i="7" s="1"/>
  <c r="H40" i="7" s="1"/>
  <c r="H30" i="7"/>
  <c r="G41" i="9"/>
  <c r="G42" i="9" s="1"/>
  <c r="G38" i="9"/>
  <c r="K51" i="9"/>
  <c r="K52" i="9" s="1"/>
  <c r="K32" i="9"/>
  <c r="J34" i="9"/>
  <c r="J31" i="9" s="1"/>
  <c r="I34" i="9"/>
  <c r="I31" i="9" s="1"/>
  <c r="H35" i="9"/>
  <c r="H37" i="9" s="1"/>
  <c r="H41" i="9" s="1"/>
  <c r="L29" i="9"/>
  <c r="I33" i="7"/>
  <c r="I13" i="12" s="1"/>
  <c r="I14" i="12" s="1"/>
  <c r="J33" i="7"/>
  <c r="J13" i="12" s="1"/>
  <c r="J14" i="12" s="1"/>
  <c r="K31" i="7"/>
  <c r="K50" i="7"/>
  <c r="K51" i="7" s="1"/>
  <c r="L28" i="7"/>
  <c r="M22" i="9"/>
  <c r="M21" i="7"/>
  <c r="C21" i="6"/>
  <c r="D21" i="6" s="1"/>
  <c r="O55" i="7" l="1"/>
  <c r="N60" i="7"/>
  <c r="N61" i="9"/>
  <c r="O56" i="9"/>
  <c r="H38" i="9"/>
  <c r="H42" i="9"/>
  <c r="J53" i="9"/>
  <c r="J57" i="9" s="1"/>
  <c r="I60" i="9"/>
  <c r="I57" i="9"/>
  <c r="L50" i="7"/>
  <c r="L51" i="7" s="1"/>
  <c r="J34" i="7"/>
  <c r="J36" i="7" s="1"/>
  <c r="J40" i="7" s="1"/>
  <c r="J30" i="7"/>
  <c r="I34" i="7"/>
  <c r="I36" i="7" s="1"/>
  <c r="I40" i="7" s="1"/>
  <c r="I30" i="7"/>
  <c r="L51" i="9"/>
  <c r="L52" i="9" s="1"/>
  <c r="L32" i="9"/>
  <c r="I35" i="9"/>
  <c r="I37" i="9" s="1"/>
  <c r="I41" i="9" s="1"/>
  <c r="K34" i="9"/>
  <c r="K31" i="9" s="1"/>
  <c r="J35" i="9"/>
  <c r="J37" i="9" s="1"/>
  <c r="J41" i="9" s="1"/>
  <c r="M29" i="9"/>
  <c r="K33" i="7"/>
  <c r="K13" i="12" s="1"/>
  <c r="K14" i="12" s="1"/>
  <c r="M28" i="7"/>
  <c r="L31" i="7"/>
  <c r="C22" i="6"/>
  <c r="D22" i="6" s="1"/>
  <c r="I42" i="9" l="1"/>
  <c r="J42" i="9" s="1"/>
  <c r="O61" i="9"/>
  <c r="P56" i="9"/>
  <c r="P55" i="7"/>
  <c r="O60" i="7"/>
  <c r="I38" i="9"/>
  <c r="J38" i="9" s="1"/>
  <c r="K34" i="7"/>
  <c r="K36" i="7" s="1"/>
  <c r="K40" i="7" s="1"/>
  <c r="K30" i="7"/>
  <c r="K53" i="9"/>
  <c r="L53" i="9" s="1"/>
  <c r="J60" i="9"/>
  <c r="K35" i="9"/>
  <c r="K37" i="9" s="1"/>
  <c r="K41" i="9" s="1"/>
  <c r="M32" i="9"/>
  <c r="L34" i="9"/>
  <c r="L31" i="9" s="1"/>
  <c r="M51" i="9"/>
  <c r="M52" i="9" s="1"/>
  <c r="L33" i="7"/>
  <c r="L13" i="12" s="1"/>
  <c r="L14" i="12" s="1"/>
  <c r="M31" i="7"/>
  <c r="M50" i="7"/>
  <c r="M51" i="7" s="1"/>
  <c r="N14" i="12"/>
  <c r="N51" i="9"/>
  <c r="N52" i="9" s="1"/>
  <c r="N50" i="7"/>
  <c r="N51" i="7" s="1"/>
  <c r="C23" i="6"/>
  <c r="K42" i="9" l="1"/>
  <c r="P61" i="9"/>
  <c r="Q56" i="9"/>
  <c r="Q55" i="7"/>
  <c r="P60" i="7"/>
  <c r="K38" i="9"/>
  <c r="M53" i="9"/>
  <c r="N53" i="9" s="1"/>
  <c r="L34" i="7"/>
  <c r="L36" i="7" s="1"/>
  <c r="L40" i="7" s="1"/>
  <c r="L30" i="7"/>
  <c r="K57" i="9"/>
  <c r="K60" i="9"/>
  <c r="L35" i="9"/>
  <c r="L37" i="9" s="1"/>
  <c r="M34" i="9"/>
  <c r="M31" i="9" s="1"/>
  <c r="E46" i="9" s="1" a="1"/>
  <c r="E46" i="9" s="1"/>
  <c r="L60" i="9"/>
  <c r="L57" i="9"/>
  <c r="M33" i="7"/>
  <c r="M13" i="12" s="1"/>
  <c r="M14" i="12" s="1"/>
  <c r="O14" i="12"/>
  <c r="O51" i="9"/>
  <c r="O52" i="9" s="1"/>
  <c r="O50" i="7"/>
  <c r="O51" i="7" s="1"/>
  <c r="D23" i="6"/>
  <c r="L38" i="9" l="1"/>
  <c r="R55" i="7"/>
  <c r="S55" i="7" s="1"/>
  <c r="Q60" i="7"/>
  <c r="R56" i="9"/>
  <c r="Q61" i="9"/>
  <c r="O53" i="9"/>
  <c r="M34" i="7"/>
  <c r="M36" i="7" s="1"/>
  <c r="M40" i="7" s="1"/>
  <c r="M30" i="7"/>
  <c r="L41" i="9"/>
  <c r="L42" i="9" s="1"/>
  <c r="M35" i="9"/>
  <c r="M37" i="9" s="1"/>
  <c r="M60" i="9"/>
  <c r="M57" i="9"/>
  <c r="C24" i="6"/>
  <c r="R60" i="7" l="1"/>
  <c r="S56" i="9"/>
  <c r="R61" i="9"/>
  <c r="T55" i="7"/>
  <c r="S60" i="7"/>
  <c r="M41" i="9"/>
  <c r="M42" i="9" s="1"/>
  <c r="N42" i="9" s="1"/>
  <c r="O42" i="9" s="1"/>
  <c r="P42" i="9" s="1"/>
  <c r="Q42" i="9" s="1"/>
  <c r="R42" i="9" s="1"/>
  <c r="S42" i="9" s="1"/>
  <c r="T42" i="9" s="1"/>
  <c r="U42" i="9" s="1"/>
  <c r="V42" i="9" s="1"/>
  <c r="W42" i="9" s="1"/>
  <c r="X42" i="9" s="1"/>
  <c r="Y42" i="9" s="1"/>
  <c r="E48" i="9" s="1" a="1"/>
  <c r="E48" i="9" s="1"/>
  <c r="E44" i="9"/>
  <c r="E17" i="16" s="1"/>
  <c r="E45" i="9"/>
  <c r="E18" i="16" s="1"/>
  <c r="M38" i="9"/>
  <c r="N38" i="9" s="1"/>
  <c r="O38" i="9" s="1"/>
  <c r="P38" i="9" s="1"/>
  <c r="Q38" i="9" s="1"/>
  <c r="R38" i="9" s="1"/>
  <c r="S38" i="9" s="1"/>
  <c r="T38" i="9" s="1"/>
  <c r="U38" i="9" s="1"/>
  <c r="V38" i="9" s="1"/>
  <c r="W38" i="9" s="1"/>
  <c r="X38" i="9" s="1"/>
  <c r="Y38" i="9" s="1"/>
  <c r="E47" i="9" s="1" a="1"/>
  <c r="E47" i="9" s="1"/>
  <c r="N60" i="9"/>
  <c r="N57" i="9"/>
  <c r="P14" i="12"/>
  <c r="D24" i="6"/>
  <c r="P50" i="7"/>
  <c r="P51" i="7" s="1"/>
  <c r="P51" i="9"/>
  <c r="P52" i="9" s="1"/>
  <c r="P53" i="9" s="1"/>
  <c r="U55" i="7" l="1"/>
  <c r="T60" i="7"/>
  <c r="S61" i="9"/>
  <c r="T56" i="9"/>
  <c r="D33" i="13"/>
  <c r="E33" i="13"/>
  <c r="P60" i="9"/>
  <c r="O60" i="9"/>
  <c r="O57" i="9"/>
  <c r="C25" i="6"/>
  <c r="D25" i="6" s="1"/>
  <c r="Q51" i="9"/>
  <c r="Q52" i="9" s="1"/>
  <c r="Q53" i="9" s="1"/>
  <c r="P57" i="9"/>
  <c r="U56" i="9" l="1"/>
  <c r="T61" i="9"/>
  <c r="V55" i="7"/>
  <c r="U60" i="7"/>
  <c r="Q57" i="9"/>
  <c r="Q50" i="7"/>
  <c r="Q51" i="7" s="1"/>
  <c r="Q14" i="12"/>
  <c r="C26" i="6"/>
  <c r="R51" i="9"/>
  <c r="R52" i="9" s="1"/>
  <c r="R53" i="9" s="1"/>
  <c r="D26" i="6"/>
  <c r="W55" i="7" l="1"/>
  <c r="V60" i="7"/>
  <c r="V56" i="9"/>
  <c r="U61" i="9"/>
  <c r="Q60" i="9"/>
  <c r="R57" i="9"/>
  <c r="R14" i="12"/>
  <c r="R50" i="7"/>
  <c r="R51" i="7" s="1"/>
  <c r="C27" i="6"/>
  <c r="D27" i="6" s="1"/>
  <c r="W56" i="9" l="1"/>
  <c r="V61" i="9"/>
  <c r="X55" i="7"/>
  <c r="W60" i="7"/>
  <c r="R60" i="9"/>
  <c r="S14" i="12"/>
  <c r="C28" i="6"/>
  <c r="S51" i="9"/>
  <c r="S50" i="7"/>
  <c r="S51" i="7" s="1"/>
  <c r="Y55" i="7" l="1"/>
  <c r="Y60" i="7" s="1"/>
  <c r="X60" i="7"/>
  <c r="W61" i="9"/>
  <c r="X56" i="9"/>
  <c r="S52" i="9"/>
  <c r="S53" i="9" s="1"/>
  <c r="S60" i="9" s="1"/>
  <c r="T14" i="12"/>
  <c r="T51" i="9"/>
  <c r="T52" i="9" s="1"/>
  <c r="D28" i="6"/>
  <c r="T50" i="7"/>
  <c r="T51" i="7" s="1"/>
  <c r="S57" i="9" l="1"/>
  <c r="X61" i="9"/>
  <c r="Y56" i="9"/>
  <c r="Y61" i="9" s="1"/>
  <c r="T53" i="9"/>
  <c r="T60" i="9" s="1"/>
  <c r="C29" i="6"/>
  <c r="T57" i="9" l="1"/>
  <c r="U14" i="12"/>
  <c r="U51" i="9"/>
  <c r="U50" i="7"/>
  <c r="U51" i="7" s="1"/>
  <c r="D29" i="6"/>
  <c r="U52" i="9" l="1"/>
  <c r="U53" i="9" s="1"/>
  <c r="C30" i="6"/>
  <c r="D30" i="6" s="1"/>
  <c r="U57" i="9" l="1"/>
  <c r="U60" i="9"/>
  <c r="V14" i="12"/>
  <c r="V50" i="7"/>
  <c r="V51" i="7" s="1"/>
  <c r="V51" i="9"/>
  <c r="V52" i="9" s="1"/>
  <c r="V53" i="9" s="1"/>
  <c r="C31" i="6"/>
  <c r="D31" i="6" s="1"/>
  <c r="W14" i="12" l="1"/>
  <c r="W50" i="7"/>
  <c r="W51" i="7" s="1"/>
  <c r="W51" i="9"/>
  <c r="W52" i="9" s="1"/>
  <c r="W53" i="9" s="1"/>
  <c r="C32" i="6"/>
  <c r="D32" i="6" s="1"/>
  <c r="V57" i="9"/>
  <c r="V60" i="9"/>
  <c r="X14" i="12" l="1"/>
  <c r="W57" i="9"/>
  <c r="X50" i="7"/>
  <c r="X51" i="7" s="1"/>
  <c r="W60" i="9"/>
  <c r="X51" i="9"/>
  <c r="X52" i="9" s="1"/>
  <c r="X53" i="9" s="1"/>
  <c r="Y14" i="12" l="1"/>
  <c r="X57" i="9"/>
  <c r="Y51" i="9"/>
  <c r="Y52" i="9" s="1"/>
  <c r="Y53" i="9" s="1"/>
  <c r="Y57" i="9" s="1"/>
  <c r="Y50" i="7"/>
  <c r="Y51" i="7" s="1"/>
  <c r="X60" i="9"/>
  <c r="Y60" i="9" l="1"/>
  <c r="F28" i="7" l="1"/>
  <c r="F50" i="7"/>
  <c r="F51" i="7" s="1"/>
  <c r="F52" i="7" s="1"/>
  <c r="E47" i="7"/>
  <c r="F59" i="7" l="1"/>
  <c r="G52" i="7"/>
  <c r="F56" i="7"/>
  <c r="F31" i="7"/>
  <c r="G59" i="7" l="1"/>
  <c r="G56" i="7"/>
  <c r="H52" i="7"/>
  <c r="F33" i="7"/>
  <c r="F13" i="12" l="1"/>
  <c r="F14" i="12" s="1"/>
  <c r="F30" i="7"/>
  <c r="E45" i="7" s="1" a="1"/>
  <c r="E45" i="7" s="1"/>
  <c r="I52" i="7"/>
  <c r="H56" i="7"/>
  <c r="H59" i="7"/>
  <c r="F34" i="7"/>
  <c r="F36" i="7" s="1"/>
  <c r="I56" i="7" l="1"/>
  <c r="J52" i="7"/>
  <c r="I59" i="7"/>
  <c r="E43" i="7"/>
  <c r="F40" i="7"/>
  <c r="F41" i="7" s="1"/>
  <c r="G41" i="7" s="1"/>
  <c r="H41" i="7" s="1"/>
  <c r="I41" i="7" s="1"/>
  <c r="J41" i="7" s="1"/>
  <c r="K41" i="7" s="1"/>
  <c r="L41" i="7" s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Y41" i="7" s="1"/>
  <c r="E44" i="7"/>
  <c r="F37" i="7"/>
  <c r="E20" i="12"/>
  <c r="E19" i="12"/>
  <c r="E14" i="16" s="1"/>
  <c r="B33" i="13" l="1"/>
  <c r="E15" i="16"/>
  <c r="G37" i="7"/>
  <c r="H37" i="7" s="1"/>
  <c r="I37" i="7" s="1"/>
  <c r="J37" i="7" s="1"/>
  <c r="K37" i="7" s="1"/>
  <c r="L37" i="7" s="1"/>
  <c r="M37" i="7" s="1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C33" i="13"/>
  <c r="E16" i="16"/>
  <c r="J56" i="7"/>
  <c r="K52" i="7"/>
  <c r="J59" i="7"/>
  <c r="E46" i="7" l="1" a="1"/>
  <c r="E46" i="7" s="1"/>
  <c r="K59" i="7"/>
  <c r="K56" i="7"/>
  <c r="L52" i="7"/>
  <c r="M52" i="7" l="1"/>
  <c r="L59" i="7"/>
  <c r="L56" i="7"/>
  <c r="N52" i="7" l="1"/>
  <c r="M59" i="7"/>
  <c r="M56" i="7"/>
  <c r="N59" i="7" l="1"/>
  <c r="O52" i="7"/>
  <c r="N56" i="7"/>
  <c r="O59" i="7" l="1"/>
  <c r="O56" i="7"/>
  <c r="P52" i="7"/>
  <c r="P56" i="7" l="1"/>
  <c r="Q52" i="7"/>
  <c r="P59" i="7"/>
  <c r="Q59" i="7" l="1"/>
  <c r="R52" i="7"/>
  <c r="Q56" i="7"/>
  <c r="S52" i="7" l="1"/>
  <c r="R56" i="7"/>
  <c r="R59" i="7"/>
  <c r="S59" i="7" l="1"/>
  <c r="S56" i="7"/>
  <c r="T52" i="7"/>
  <c r="T59" i="7" l="1"/>
  <c r="U52" i="7"/>
  <c r="T56" i="7"/>
  <c r="U59" i="7" l="1"/>
  <c r="V52" i="7"/>
  <c r="U56" i="7"/>
  <c r="W52" i="7" l="1"/>
  <c r="V59" i="7"/>
  <c r="V56" i="7"/>
  <c r="W59" i="7" l="1"/>
  <c r="X52" i="7"/>
  <c r="W56" i="7"/>
  <c r="Y52" i="7" l="1"/>
  <c r="X59" i="7"/>
  <c r="X56" i="7"/>
  <c r="Y59" i="7" l="1"/>
  <c r="Y56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<sst xmlns="http://schemas.openxmlformats.org/spreadsheetml/2006/main" count="335" uniqueCount="208">
  <si>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</si>
  <si>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</si>
  <si>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</si>
  <si>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</si>
  <si>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</si>
  <si>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</si>
  <si>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</si>
  <si>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</si>
  <si>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</si>
  <si>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</si>
  <si>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</si>
  <si>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</si>
  <si>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</si>
  <si>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</si>
  <si>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</si>
  <si>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</si>
  <si>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</si>
  <si>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</si>
  <si>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</si>
  <si>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</si>
  <si>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</si>
  <si>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</si>
  <si>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</si>
  <si>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</si>
  <si>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</si>
  <si>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</si>
  <si>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</si>
  <si>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</si>
  <si>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</si>
  <si>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</si>
  <si>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</si>
  <si>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</si>
  <si>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</si>
  <si>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</si>
  <si>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</si>
  <si>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</si>
  <si>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</si>
  <si>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</si>
  <si>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</si>
  <si>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</si>
  <si>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</si>
  <si>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</si>
  <si>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</si>
  <si>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</si>
  <si>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</si>
  <si>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</si>
  <si>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</si>
  <si>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</si>
  <si>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</si>
  <si>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</si>
  <si>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</si>
  <si>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</si>
  <si>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Nabavka opreme i materijala</t>
  </si>
  <si>
    <t>Mašinsko-montažni radovi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</si>
  <si>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</si>
  <si>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</si>
  <si>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</si>
  <si>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</si>
  <si>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</si>
  <si>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</si>
  <si>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</si>
  <si>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</si>
  <si>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</si>
  <si>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</si>
  <si>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</si>
  <si>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</si>
  <si>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</si>
  <si>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ENERGIJA I TROŠKOVI ENERGIJE</t>
  </si>
  <si>
    <t>Proizvodna cena toplote</t>
  </si>
  <si>
    <t>Ušteda energije</t>
  </si>
  <si>
    <t>Ušteda u novcu</t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</si>
  <si>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</si>
  <si>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</si>
  <si>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</si>
  <si>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</si>
  <si>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</si>
  <si>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</si>
  <si>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</si>
  <si>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</si>
  <si>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</si>
  <si>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</si>
  <si>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</si>
  <si>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</si>
  <si>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</si>
  <si>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</si>
  <si>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</si>
  <si>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</si>
  <si>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</si>
  <si>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Ostali troškovi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</si>
  <si>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</si>
  <si>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</si>
  <si>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</si>
  <si>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</si>
  <si>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</si>
  <si>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</si>
  <si>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</si>
  <si>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</si>
  <si>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Troškovi finansirnja - kamate (EUR/a)</t>
  </si>
  <si>
    <t>Ostali troškovi</t>
  </si>
  <si>
    <t>Ukupni godišnji troškovi (EUR/a)</t>
  </si>
  <si>
    <t>Graf - Prihodi, diskontovani, kumul.</t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</si>
  <si>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</si>
  <si>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</si>
  <si>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</si>
  <si>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</si>
  <si>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</si>
  <si>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</si>
  <si>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</si>
  <si>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</si>
  <si>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</si>
  <si>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</si>
  <si>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Priključenje novog objekta</t>
  </si>
  <si>
    <t>Izrada konstrukcije za postavljanje opreme</t>
  </si>
  <si>
    <t>Ugradnja merila toplote</t>
  </si>
  <si>
    <t>Povezivanje na SCADA</t>
  </si>
  <si>
    <t>Rekonstrukcija dimovodnog trakta</t>
  </si>
  <si>
    <t>Kapacitet kotla</t>
  </si>
  <si>
    <t>MWth</t>
  </si>
  <si>
    <t>Rad u kondenzacionom režimu</t>
  </si>
  <si>
    <t>Električna snaga cirkulacione pumpe</t>
  </si>
  <si>
    <t>Radni režim sa prekidom</t>
  </si>
  <si>
    <t>Toplotni gubici u mreži daljinskog grejanja</t>
  </si>
  <si>
    <t>%</t>
  </si>
  <si>
    <t>Emisioni faktor</t>
  </si>
  <si>
    <t>t/MWh</t>
  </si>
  <si>
    <t>kWe</t>
  </si>
  <si>
    <t>Cena električne energije</t>
  </si>
  <si>
    <t>RSD/Mwhe</t>
  </si>
  <si>
    <t>RSD/MWhth</t>
  </si>
  <si>
    <t>NAZAD</t>
  </si>
  <si>
    <t>DALJE</t>
  </si>
  <si>
    <t>ESCO INVESTICIJA</t>
  </si>
  <si>
    <t>Udeo ako gradi ESCO</t>
  </si>
  <si>
    <t>Diskontovana vrednost udela</t>
  </si>
  <si>
    <t>N/A</t>
  </si>
  <si>
    <t>Udeo u uštedama ako gradi ESCO (EUR/a)</t>
  </si>
  <si>
    <t>GRAFIK / CASH FLOW / FINANSIJSKI</t>
  </si>
  <si>
    <t>Udeo u troškovima ako ESCO investira (EUR/a)</t>
  </si>
  <si>
    <t>REZIME PROJEKTA</t>
  </si>
  <si>
    <t>Projekat</t>
  </si>
  <si>
    <t>Investiciona vrednost (EUR)</t>
  </si>
  <si>
    <t>Subvencije (EUR)</t>
  </si>
  <si>
    <t>LCoE(EE) (EUR/MWh)</t>
  </si>
  <si>
    <t>Miks goriva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</si>
  <si>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</si>
  <si>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</si>
  <si>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</si>
  <si>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</si>
  <si>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</si>
  <si>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</si>
  <si>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</si>
  <si>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Toplota iz DH na gas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</si>
  <si>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</si>
  <si>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</si>
  <si>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</si>
  <si>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</si>
  <si>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</si>
  <si>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</si>
  <si>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</si>
  <si>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</si>
  <si>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</si>
  <si>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</si>
  <si>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</si>
  <si>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</si>
  <si>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</si>
  <si>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</si>
  <si>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</si>
  <si>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</si>
  <si>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</si>
  <si>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</si>
  <si>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</si>
  <si>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</si>
  <si>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</si>
  <si>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</si>
  <si>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</si>
  <si>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</si>
  <si>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FINANSIJSKI INDIKATORI, sa CO</t>
    </r>
    <r>
      <rPr>
        <b/>
        <sz val="16"/>
        <color theme="0"/>
        <rFont val="Calibri"/>
        <family val="2"/>
      </rPr>
      <t>²</t>
    </r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</si>
  <si>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</si>
  <si>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</si>
  <si>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</si>
  <si>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</si>
  <si>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</si>
  <si>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Cena toplote</t>
  </si>
  <si>
    <t>NPV = 0</t>
  </si>
  <si>
    <t>Investicije</t>
  </si>
  <si>
    <t>NSV (EUR)</t>
  </si>
  <si>
    <t>KONVERZIONI FAKTOR ZA MIKS GORIVA</t>
  </si>
  <si>
    <t>GORIVO</t>
  </si>
  <si>
    <t>Primarna energija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</si>
  <si>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</si>
  <si>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</si>
  <si>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</si>
  <si>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</si>
  <si>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UKUPNO: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</si>
  <si>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</si>
  <si>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</si>
  <si>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</si>
  <si>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</si>
  <si>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</si>
  <si>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</si>
  <si>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</si>
  <si>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</si>
  <si>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</si>
  <si>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</si>
  <si>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</si>
  <si>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</si>
  <si>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</si>
  <si>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</rPr>
      <t xml:space="preserve"> </t>
    </r>
    <r>
      <rPr>
        <sz val="11"/>
        <color theme="0"/>
        <rFont val="Calibri"/>
        <family val="2"/>
        <scheme val="minor"/>
      </rPr>
      <t>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</si>
</sst>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;[Red]\-&quot;$&quot;#,##0.00"/>
    <numFmt numFmtId="165" formatCode="#,##0.00_ ;[Red]\-#,##0.00\ "/>
    <numFmt numFmtId="166" formatCode="#,##0_ ;[Red]\-#,##0\ "/>
    <numFmt numFmtId="167" formatCode="0.000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name val="Calibri"/>
      <family val="2"/>
      <scheme val="minor"/>
    </font>
    <font>
      <b/>
      <sz val="16"/>
      <color theme="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85">
    <xf numFmtId="0" fontId="0" fillId="0" borderId="0" xfId="0"/>
    <xf numFmtId="0" fontId="1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9" fontId="0" fillId="0" borderId="0" xfId="0" applyNumberFormat="1"/>
    <xf numFmtId="0" fontId="2" fillId="4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2" fillId="6" borderId="0" xfId="0" applyFont="1" applyFill="1"/>
    <xf numFmtId="0" fontId="0" fillId="6" borderId="0" xfId="0" applyFill="1"/>
    <xf numFmtId="0" fontId="0" fillId="0" borderId="0" xfId="0" applyProtection="1">
      <protection hidden="1"/>
    </xf>
    <xf numFmtId="4" fontId="0" fillId="4" borderId="0" xfId="0" applyNumberFormat="1" applyFill="1"/>
    <xf numFmtId="4" fontId="2" fillId="4" borderId="0" xfId="0" applyNumberFormat="1" applyFont="1" applyFill="1"/>
    <xf numFmtId="10" fontId="2" fillId="4" borderId="0" xfId="0" applyNumberFormat="1" applyFont="1" applyFill="1"/>
    <xf numFmtId="4" fontId="0" fillId="0" borderId="0" xfId="0" applyNumberFormat="1" applyAlignment="1" applyProtection="1">
      <alignment horizontal="right"/>
      <protection locked="0"/>
    </xf>
    <xf numFmtId="4" fontId="2" fillId="7" borderId="0" xfId="0" applyNumberFormat="1" applyFont="1" applyFill="1"/>
    <xf numFmtId="2" fontId="2" fillId="7" borderId="0" xfId="0" applyNumberFormat="1" applyFont="1" applyFill="1"/>
    <xf numFmtId="0" fontId="8" fillId="0" borderId="0" xfId="1" applyFont="1" applyFill="1" applyAlignment="1">
      <alignment vertical="distributed"/>
    </xf>
    <xf numFmtId="40" fontId="0" fillId="0" borderId="0" xfId="0" applyNumberFormat="1" applyAlignment="1">
      <alignment horizontal="right"/>
    </xf>
    <xf numFmtId="2" fontId="0" fillId="0" borderId="0" xfId="0" applyNumberFormat="1"/>
    <xf numFmtId="0" fontId="0" fillId="5" borderId="0" xfId="0" applyFill="1"/>
    <xf numFmtId="4" fontId="0" fillId="5" borderId="0" xfId="0" applyNumberFormat="1" applyFill="1"/>
    <xf numFmtId="0" fontId="0" fillId="10" borderId="0" xfId="0" applyFill="1" applyAlignment="1">
      <alignment horizontal="left"/>
    </xf>
    <xf numFmtId="0" fontId="0" fillId="10" borderId="0" xfId="0" applyFill="1"/>
    <xf numFmtId="4" fontId="0" fillId="10" borderId="0" xfId="0" applyNumberFormat="1" applyFill="1"/>
    <xf numFmtId="0" fontId="10" fillId="0" borderId="0" xfId="0" applyFont="1" applyAlignment="1">
      <alignment horizontal="left"/>
    </xf>
    <xf numFmtId="0" fontId="10" fillId="10" borderId="0" xfId="0" applyFont="1" applyFill="1" applyAlignment="1">
      <alignment horizontal="left"/>
    </xf>
    <xf numFmtId="165" fontId="0" fillId="10" borderId="0" xfId="0" applyNumberFormat="1" applyFill="1"/>
    <xf numFmtId="164" fontId="0" fillId="10" borderId="0" xfId="0" applyNumberFormat="1" applyFill="1"/>
    <xf numFmtId="10" fontId="0" fillId="10" borderId="0" xfId="0" applyNumberFormat="1" applyFill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6" fontId="0" fillId="0" borderId="0" xfId="0" applyNumberFormat="1"/>
    <xf numFmtId="10" fontId="0" fillId="0" borderId="0" xfId="2" applyNumberFormat="1" applyFont="1"/>
    <xf numFmtId="166" fontId="0" fillId="10" borderId="0" xfId="0" applyNumberFormat="1" applyFill="1"/>
    <xf numFmtId="0" fontId="0" fillId="0" borderId="0" xfId="0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7" fontId="10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8" fillId="0" borderId="0" xfId="0" applyFont="1"/>
    <xf numFmtId="0" fontId="9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8" fillId="8" borderId="0" xfId="1" applyFont="1" applyFill="1" applyAlignment="1">
      <alignment horizontal="center" vertical="distributed"/>
    </xf>
    <xf numFmtId="0" fontId="8" fillId="9" borderId="0" xfId="1" applyFont="1" applyFill="1" applyAlignment="1">
      <alignment horizontal="center" vertical="distributed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 applyAlignment="1">
      <alignment horizontal="center"/>
    </xf>
    <xf numFmtId="0" fontId="0" fillId="0" borderId="0" xfId="0"/>
    <xf numFmtId="0" fontId="1" fillId="4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8" fillId="8" borderId="0" xfId="1" applyFont="1" applyFill="1" applyAlignment="1">
      <alignment horizontal="center"/>
    </xf>
    <xf numFmtId="0" fontId="8" fillId="9" borderId="0" xfId="1" applyFont="1" applyFill="1" applyAlignment="1">
      <alignment horizontal="center"/>
    </xf>
    <xf numFmtId="0" fontId="3" fillId="4" borderId="0" xfId="0" applyFont="1" applyFill="1" applyAlignment="1">
      <alignment horizontal="left"/>
    </xf>
    <xf numFmtId="0" fontId="3" fillId="4" borderId="0" xfId="0" applyFont="1" applyFill="1" applyAlignment="1" applyProtection="1">
      <alignment horizontal="center" vertical="distributed"/>
      <protection locked="0"/>
    </xf>
    <xf numFmtId="0" fontId="13" fillId="0" borderId="0" xfId="0" applyFont="1" applyAlignment="1">
      <alignment horizontal="left"/>
    </xf>
    <xf numFmtId="0" fontId="8" fillId="9" borderId="0" xfId="1" applyFont="1" applyFill="1" applyAlignment="1">
      <alignment horizontal="center" vertical="distributed" shrinkToFit="1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-113415.80378282974</c:v>
                </c:pt>
                <c:pt idx="2">
                  <c:v>-57783.5160286522</c:v>
                </c:pt>
                <c:pt idx="3">
                  <c:v>-5841.0272941688891</c:v>
                </c:pt>
                <c:pt idx="4">
                  <c:v>42656.387513823167</c:v>
                </c:pt>
                <c:pt idx="5">
                  <c:v>87937.222151556227</c:v>
                </c:pt>
                <c:pt idx="6">
                  <c:v>130214.8155780792</c:v>
                </c:pt>
                <c:pt idx="7">
                  <c:v>169688.35709378537</c:v>
                </c:pt>
                <c:pt idx="8">
                  <c:v>206543.82481335185</c:v>
                </c:pt>
                <c:pt idx="9">
                  <c:v>259733.25901303894</c:v>
                </c:pt>
                <c:pt idx="10">
                  <c:v>309394.91590765992</c:v>
                </c:pt>
                <c:pt idx="11">
                  <c:v>355762.77453649952</c:v>
                </c:pt>
                <c:pt idx="12">
                  <c:v>399055.29533148988</c:v>
                </c:pt>
                <c:pt idx="13">
                  <c:v>439476.44938536582</c:v>
                </c:pt>
                <c:pt idx="14">
                  <c:v>477216.67945384083</c:v>
                </c:pt>
                <c:pt idx="15">
                  <c:v>512453.79721952847</c:v>
                </c:pt>
                <c:pt idx="16">
                  <c:v>545353.82104503526</c:v>
                </c:pt>
                <c:pt idx="17">
                  <c:v>576071.75816226809</c:v>
                </c:pt>
                <c:pt idx="18">
                  <c:v>604752.33498320985</c:v>
                </c:pt>
                <c:pt idx="19">
                  <c:v>631530.67897299817</c:v>
                </c:pt>
                <c:pt idx="20">
                  <c:v>656532.95529792341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445-47FA-8868-B686FEE5F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331840"/>
        <c:axId val="226584832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173000</c:v>
                </c:pt>
                <c:pt idx="1">
                  <c:v>233127.1245241444</c:v>
                </c:pt>
                <c:pt idx="2">
                  <c:v>289266.33098699065</c:v>
                </c:pt>
                <c:pt idx="3">
                  <c:v>341682.11716037622</c:v>
                </c:pt>
                <c:pt idx="4">
                  <c:v>390621.4380606878</c:v>
                </c:pt>
                <c:pt idx="5">
                  <c:v>436314.8694681857</c:v>
                </c:pt>
                <c:pt idx="6">
                  <c:v>478977.69427616999</c:v>
                </c:pt>
                <c:pt idx="7">
                  <c:v>518810.91678828135</c:v>
                </c:pt>
                <c:pt idx="8">
                  <c:v>556002.20974276075</c:v>
                </c:pt>
                <c:pt idx="9">
                  <c:v>571948.40140717081</c:v>
                </c:pt>
                <c:pt idx="10">
                  <c:v>586836.96548252355</c:v>
                </c:pt>
                <c:pt idx="11">
                  <c:v>600738.04888167907</c:v>
                </c:pt>
                <c:pt idx="12">
                  <c:v>613717.14603922004</c:v>
                </c:pt>
                <c:pt idx="13">
                  <c:v>625835.40748603095</c:v>
                </c:pt>
                <c:pt idx="14">
                  <c:v>637149.92795773724</c:v>
                </c:pt>
                <c:pt idx="15">
                  <c:v>647714.01539441745</c:v>
                </c:pt>
                <c:pt idx="16">
                  <c:v>657577.44209896913</c:v>
                </c:pt>
                <c:pt idx="17">
                  <c:v>666786.67923745268</c:v>
                </c:pt>
                <c:pt idx="18">
                  <c:v>675385.11578625254</c:v>
                </c:pt>
                <c:pt idx="19">
                  <c:v>683413.26295761648</c:v>
                </c:pt>
                <c:pt idx="20">
                  <c:v>690908.94506671745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445-47FA-8868-B686FEE5FAD8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119711.32074131466</c:v>
                </c:pt>
                <c:pt idx="2">
                  <c:v>231482.81495833845</c:v>
                </c:pt>
                <c:pt idx="3">
                  <c:v>335841.08986620733</c:v>
                </c:pt>
                <c:pt idx="4">
                  <c:v>433277.82557451096</c:v>
                </c:pt>
                <c:pt idx="5">
                  <c:v>524252.09161974193</c:v>
                </c:pt>
                <c:pt idx="6">
                  <c:v>609192.50985424919</c:v>
                </c:pt>
                <c:pt idx="7">
                  <c:v>688499.27388206671</c:v>
                </c:pt>
                <c:pt idx="8">
                  <c:v>762546.0345561126</c:v>
                </c:pt>
                <c:pt idx="9">
                  <c:v>831681.66042020975</c:v>
                </c:pt>
                <c:pt idx="10">
                  <c:v>896231.88139018347</c:v>
                </c:pt>
                <c:pt idx="11">
                  <c:v>956500.8234181786</c:v>
                </c:pt>
                <c:pt idx="12">
                  <c:v>1012772.4413707099</c:v>
                </c:pt>
                <c:pt idx="13">
                  <c:v>1065311.8568713968</c:v>
                </c:pt>
                <c:pt idx="14">
                  <c:v>1114366.6074115781</c:v>
                </c:pt>
                <c:pt idx="15">
                  <c:v>1160167.8126139459</c:v>
                </c:pt>
                <c:pt idx="16">
                  <c:v>1202931.2631440044</c:v>
                </c:pt>
                <c:pt idx="17">
                  <c:v>1242858.4373997208</c:v>
                </c:pt>
                <c:pt idx="18">
                  <c:v>1280137.4507694624</c:v>
                </c:pt>
                <c:pt idx="19">
                  <c:v>1314943.9419306146</c:v>
                </c:pt>
                <c:pt idx="20">
                  <c:v>1347441.9003646409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445-47FA-8868-B686FEE5F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331840"/>
        <c:axId val="226584832"/>
      </c:lineChart>
      <c:catAx>
        <c:axId val="167331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6584832"/>
        <c:crosses val="autoZero"/>
        <c:auto val="1"/>
        <c:lblAlgn val="ctr"/>
        <c:lblOffset val="100"/>
        <c:noMultiLvlLbl val="0"/>
      </c:catAx>
      <c:valAx>
        <c:axId val="22658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331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-158415.80378282972</c:v>
                </c:pt>
                <c:pt idx="2">
                  <c:v>-102783.5160286522</c:v>
                </c:pt>
                <c:pt idx="3">
                  <c:v>-50841.027294168889</c:v>
                </c:pt>
                <c:pt idx="4">
                  <c:v>-2343.612486176833</c:v>
                </c:pt>
                <c:pt idx="5">
                  <c:v>42937.222151556227</c:v>
                </c:pt>
                <c:pt idx="6">
                  <c:v>85214.8155780792</c:v>
                </c:pt>
                <c:pt idx="7">
                  <c:v>124688.35709378542</c:v>
                </c:pt>
                <c:pt idx="8">
                  <c:v>161543.82481335197</c:v>
                </c:pt>
                <c:pt idx="9">
                  <c:v>214733.25901303906</c:v>
                </c:pt>
                <c:pt idx="10">
                  <c:v>264394.91590766003</c:v>
                </c:pt>
                <c:pt idx="11">
                  <c:v>310762.77453649964</c:v>
                </c:pt>
                <c:pt idx="12">
                  <c:v>354055.29533148999</c:v>
                </c:pt>
                <c:pt idx="13">
                  <c:v>394476.44938536594</c:v>
                </c:pt>
                <c:pt idx="14">
                  <c:v>432216.67945384094</c:v>
                </c:pt>
                <c:pt idx="15">
                  <c:v>467453.79721952858</c:v>
                </c:pt>
                <c:pt idx="16">
                  <c:v>500353.82104503538</c:v>
                </c:pt>
                <c:pt idx="17">
                  <c:v>531071.7581622682</c:v>
                </c:pt>
                <c:pt idx="18">
                  <c:v>559752.33498320996</c:v>
                </c:pt>
                <c:pt idx="19">
                  <c:v>586530.67897299828</c:v>
                </c:pt>
                <c:pt idx="20">
                  <c:v>611532.95529792353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99-451F-A44E-ADBB2FEDC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543296"/>
        <c:axId val="226588864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173000</c:v>
                </c:pt>
                <c:pt idx="1">
                  <c:v>278127.1245241444</c:v>
                </c:pt>
                <c:pt idx="2">
                  <c:v>334266.33098699065</c:v>
                </c:pt>
                <c:pt idx="3">
                  <c:v>386682.11716037622</c:v>
                </c:pt>
                <c:pt idx="4">
                  <c:v>435621.4380606878</c:v>
                </c:pt>
                <c:pt idx="5">
                  <c:v>481314.8694681857</c:v>
                </c:pt>
                <c:pt idx="6">
                  <c:v>523977.69427616999</c:v>
                </c:pt>
                <c:pt idx="7">
                  <c:v>563810.91678828129</c:v>
                </c:pt>
                <c:pt idx="8">
                  <c:v>601002.20974276063</c:v>
                </c:pt>
                <c:pt idx="9">
                  <c:v>616948.40140717069</c:v>
                </c:pt>
                <c:pt idx="10">
                  <c:v>631836.96548252343</c:v>
                </c:pt>
                <c:pt idx="11">
                  <c:v>645738.04888167896</c:v>
                </c:pt>
                <c:pt idx="12">
                  <c:v>658717.14603921992</c:v>
                </c:pt>
                <c:pt idx="13">
                  <c:v>670835.40748603083</c:v>
                </c:pt>
                <c:pt idx="14">
                  <c:v>682149.92795773712</c:v>
                </c:pt>
                <c:pt idx="15">
                  <c:v>692714.01539441734</c:v>
                </c:pt>
                <c:pt idx="16">
                  <c:v>702577.44209896901</c:v>
                </c:pt>
                <c:pt idx="17">
                  <c:v>711786.67923745257</c:v>
                </c:pt>
                <c:pt idx="18">
                  <c:v>720385.11578625243</c:v>
                </c:pt>
                <c:pt idx="19">
                  <c:v>728413.26295761636</c:v>
                </c:pt>
                <c:pt idx="20">
                  <c:v>735908.94506671734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C99-451F-A44E-ADBB2FEDC5EE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Prihodi,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119711.32074131466</c:v>
                </c:pt>
                <c:pt idx="2">
                  <c:v>231482.81495833845</c:v>
                </c:pt>
                <c:pt idx="3">
                  <c:v>335841.08986620733</c:v>
                </c:pt>
                <c:pt idx="4">
                  <c:v>433277.82557451096</c:v>
                </c:pt>
                <c:pt idx="5">
                  <c:v>524252.09161974193</c:v>
                </c:pt>
                <c:pt idx="6">
                  <c:v>609192.50985424919</c:v>
                </c:pt>
                <c:pt idx="7">
                  <c:v>688499.27388206671</c:v>
                </c:pt>
                <c:pt idx="8">
                  <c:v>762546.0345561126</c:v>
                </c:pt>
                <c:pt idx="9">
                  <c:v>831681.66042020975</c:v>
                </c:pt>
                <c:pt idx="10">
                  <c:v>896231.88139018347</c:v>
                </c:pt>
                <c:pt idx="11">
                  <c:v>956500.8234181786</c:v>
                </c:pt>
                <c:pt idx="12">
                  <c:v>1012772.4413707099</c:v>
                </c:pt>
                <c:pt idx="13">
                  <c:v>1065311.8568713968</c:v>
                </c:pt>
                <c:pt idx="14">
                  <c:v>1114366.6074115781</c:v>
                </c:pt>
                <c:pt idx="15">
                  <c:v>1160167.8126139459</c:v>
                </c:pt>
                <c:pt idx="16">
                  <c:v>1202931.2631440044</c:v>
                </c:pt>
                <c:pt idx="17">
                  <c:v>1242858.4373997208</c:v>
                </c:pt>
                <c:pt idx="18">
                  <c:v>1280137.4507694624</c:v>
                </c:pt>
                <c:pt idx="19">
                  <c:v>1314943.9419306146</c:v>
                </c:pt>
                <c:pt idx="20">
                  <c:v>1347441.9003646409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C99-451F-A44E-ADBB2FEDC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543296"/>
        <c:axId val="226588864"/>
      </c:lineChart>
      <c:catAx>
        <c:axId val="167543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6588864"/>
        <c:crosses val="autoZero"/>
        <c:auto val="1"/>
        <c:lblAlgn val="ctr"/>
        <c:lblOffset val="100"/>
        <c:noMultiLvlLbl val="0"/>
      </c:catAx>
      <c:valAx>
        <c:axId val="22658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54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D0B-4B01-876F-1D62F0315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077376"/>
        <c:axId val="164601152"/>
        <c:extLst xmlns:c16r2="http://schemas.microsoft.com/office/drawing/2015/06/chart"/>
      </c:lineChart>
      <c:catAx>
        <c:axId val="167077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601152"/>
        <c:crosses val="autoZero"/>
        <c:auto val="1"/>
        <c:lblAlgn val="ctr"/>
        <c:lblOffset val="100"/>
        <c:noMultiLvlLbl val="0"/>
      </c:catAx>
      <c:valAx>
        <c:axId val="16460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077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H$12" lockText="1" noThreeD="1"/>
</file>

<file path=xl/ctrlProps/ctrlProp2.xml><?xml version="1.0" encoding="utf-8"?>
<formControlPr xmlns="http://schemas.microsoft.com/office/spreadsheetml/2009/9/main" objectType="CheckBox" checked="Checked" fmlaLink="$H$14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123825</xdr:rowOff>
    </xdr:from>
    <xdr:to>
      <xdr:col>2</xdr:col>
      <xdr:colOff>219075</xdr:colOff>
      <xdr:row>14</xdr:row>
      <xdr:rowOff>133003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668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85725</xdr:rowOff>
    </xdr:from>
    <xdr:to>
      <xdr:col>11</xdr:col>
      <xdr:colOff>523875</xdr:colOff>
      <xdr:row>8</xdr:row>
      <xdr:rowOff>47278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7050" y="857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29</xdr:row>
      <xdr:rowOff>9525</xdr:rowOff>
    </xdr:from>
    <xdr:to>
      <xdr:col>2</xdr:col>
      <xdr:colOff>533400</xdr:colOff>
      <xdr:row>31</xdr:row>
      <xdr:rowOff>18703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764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250825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57150</xdr:rowOff>
    </xdr:from>
    <xdr:to>
      <xdr:col>11</xdr:col>
      <xdr:colOff>523875</xdr:colOff>
      <xdr:row>8</xdr:row>
      <xdr:rowOff>18703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571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171450</xdr:colOff>
      <xdr:row>8</xdr:row>
      <xdr:rowOff>28575</xdr:rowOff>
    </xdr:from>
    <xdr:to>
      <xdr:col>17</xdr:col>
      <xdr:colOff>123825</xdr:colOff>
      <xdr:row>28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9525</xdr:rowOff>
    </xdr:from>
    <xdr:to>
      <xdr:col>2</xdr:col>
      <xdr:colOff>533400</xdr:colOff>
      <xdr:row>12</xdr:row>
      <xdr:rowOff>18703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715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</xdr:colOff>
      <xdr:row>19</xdr:row>
      <xdr:rowOff>0</xdr:rowOff>
    </xdr:from>
    <xdr:to>
      <xdr:col>3</xdr:col>
      <xdr:colOff>523875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4525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600075</xdr:colOff>
      <xdr:row>0</xdr:row>
      <xdr:rowOff>152400</xdr:rowOff>
    </xdr:from>
    <xdr:to>
      <xdr:col>8</xdr:col>
      <xdr:colOff>569595</xdr:colOff>
      <xdr:row>3</xdr:row>
      <xdr:rowOff>160020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1524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11</xdr:row>
      <xdr:rowOff>142875</xdr:rowOff>
    </xdr:from>
    <xdr:to>
      <xdr:col>15</xdr:col>
      <xdr:colOff>219875</xdr:colOff>
      <xdr:row>13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285875"/>
          <a:ext cx="4389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11</xdr:row>
          <xdr:rowOff>0</xdr:rowOff>
        </xdr:from>
        <xdr:to>
          <xdr:col>6</xdr:col>
          <xdr:colOff>333375</xdr:colOff>
          <xdr:row>12</xdr:row>
          <xdr:rowOff>19050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12</xdr:row>
          <xdr:rowOff>180975</xdr:rowOff>
        </xdr:from>
        <xdr:to>
          <xdr:col>6</xdr:col>
          <xdr:colOff>333375</xdr:colOff>
          <xdr:row>14</xdr:row>
          <xdr:rowOff>9525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10</xdr:col>
      <xdr:colOff>95250</xdr:colOff>
      <xdr:row>7</xdr:row>
      <xdr:rowOff>161925</xdr:rowOff>
    </xdr:from>
    <xdr:to>
      <xdr:col>10</xdr:col>
      <xdr:colOff>533400</xdr:colOff>
      <xdr:row>9</xdr:row>
      <xdr:rowOff>171103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5600" y="6191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114300</xdr:rowOff>
    </xdr:from>
    <xdr:to>
      <xdr:col>10</xdr:col>
      <xdr:colOff>533400</xdr:colOff>
      <xdr:row>13</xdr:row>
      <xdr:rowOff>123478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333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63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178600</xdr:colOff>
      <xdr:row>6</xdr:row>
      <xdr:rowOff>23822</xdr:rowOff>
    </xdr:from>
    <xdr:to>
      <xdr:col>11</xdr:col>
      <xdr:colOff>616750</xdr:colOff>
      <xdr:row>7</xdr:row>
      <xdr:rowOff>152063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05819" y="23822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35718</xdr:rowOff>
    </xdr:from>
    <xdr:to>
      <xdr:col>11</xdr:col>
      <xdr:colOff>616740</xdr:colOff>
      <xdr:row>7</xdr:row>
      <xdr:rowOff>163959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77246" y="35718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12</xdr:row>
      <xdr:rowOff>123825</xdr:rowOff>
    </xdr:from>
    <xdr:to>
      <xdr:col>2</xdr:col>
      <xdr:colOff>228600</xdr:colOff>
      <xdr:row>14</xdr:row>
      <xdr:rowOff>133003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2668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/>
  </sheetViews>
  <sheetFormatPr defaultRowHeight="15" x14ac:dyDescent="0.25"/>
  <sheetData>
    <row r="3" spans="2:18" ht="16.5" x14ac:dyDescent="0.35">
      <c r="F3" s="60" t="s">
        <v>150</v>
      </c>
      <c r="G3" s="60"/>
      <c r="H3" s="60"/>
      <c r="I3" s="60"/>
    </row>
    <row r="7" spans="2:18" x14ac:dyDescent="0.25">
      <c r="B7" s="61" t="s">
        <v>0</v>
      </c>
      <c r="C7" s="61"/>
      <c r="D7" s="61"/>
      <c r="E7" s="61"/>
      <c r="F7" s="61"/>
      <c r="G7" s="61"/>
      <c r="H7" s="61"/>
      <c r="I7" s="61"/>
      <c r="J7" s="61"/>
      <c r="K7" s="61"/>
    </row>
    <row r="8" spans="2:18" x14ac:dyDescent="0.25">
      <c r="B8" s="61"/>
      <c r="C8" s="61"/>
      <c r="D8" s="61"/>
      <c r="E8" s="61"/>
      <c r="F8" s="61"/>
      <c r="G8" s="61"/>
      <c r="H8" s="61"/>
      <c r="I8" s="61"/>
      <c r="J8" s="61"/>
      <c r="K8" s="61"/>
    </row>
    <row r="9" spans="2:18" x14ac:dyDescent="0.25">
      <c r="B9" s="61"/>
      <c r="C9" s="61"/>
      <c r="D9" s="61"/>
      <c r="E9" s="61"/>
      <c r="F9" s="61"/>
      <c r="G9" s="61"/>
      <c r="H9" s="61"/>
      <c r="I9" s="61"/>
      <c r="J9" s="61"/>
      <c r="K9" s="61"/>
      <c r="M9" s="62" t="s">
        <v>2</v>
      </c>
      <c r="N9" s="62"/>
      <c r="O9" s="62"/>
      <c r="P9" s="62"/>
      <c r="Q9" s="62"/>
      <c r="R9" s="62"/>
    </row>
    <row r="10" spans="2:18" x14ac:dyDescent="0.25">
      <c r="B10" s="61"/>
      <c r="C10" s="61"/>
      <c r="D10" s="61"/>
      <c r="E10" s="61"/>
      <c r="F10" s="61"/>
      <c r="G10" s="61"/>
      <c r="H10" s="61"/>
      <c r="I10" s="61"/>
      <c r="J10" s="61"/>
      <c r="K10" s="61"/>
      <c r="M10" s="62"/>
      <c r="N10" s="62"/>
      <c r="O10" s="62"/>
      <c r="P10" s="62"/>
      <c r="Q10" s="62"/>
      <c r="R10" s="62"/>
    </row>
    <row r="11" spans="2:18" x14ac:dyDescent="0.25">
      <c r="B11" s="61"/>
      <c r="C11" s="61"/>
      <c r="D11" s="61"/>
      <c r="E11" s="61"/>
      <c r="F11" s="61"/>
      <c r="G11" s="61"/>
      <c r="H11" s="61"/>
      <c r="I11" s="61"/>
      <c r="J11" s="61"/>
      <c r="K11" s="61"/>
    </row>
    <row r="12" spans="2:18" x14ac:dyDescent="0.25">
      <c r="B12" s="61"/>
      <c r="C12" s="61"/>
      <c r="D12" s="61"/>
      <c r="E12" s="61"/>
      <c r="F12" s="61"/>
      <c r="G12" s="61"/>
      <c r="H12" s="61"/>
      <c r="I12" s="61"/>
      <c r="J12" s="61"/>
      <c r="K12" s="61"/>
      <c r="M12" s="63" t="s">
        <v>41</v>
      </c>
      <c r="N12" s="63"/>
      <c r="O12" s="63"/>
      <c r="P12" s="63"/>
      <c r="Q12" s="63"/>
      <c r="R12" s="63"/>
    </row>
    <row r="13" spans="2:18" x14ac:dyDescent="0.25">
      <c r="B13" s="61"/>
      <c r="C13" s="61"/>
      <c r="D13" s="61"/>
      <c r="E13" s="61"/>
      <c r="F13" s="61"/>
      <c r="G13" s="61"/>
      <c r="H13" s="61"/>
      <c r="I13" s="61"/>
      <c r="J13" s="61"/>
      <c r="K13" s="61"/>
    </row>
    <row r="14" spans="2:18" x14ac:dyDescent="0.25">
      <c r="B14" s="61"/>
      <c r="C14" s="61"/>
      <c r="D14" s="61"/>
      <c r="E14" s="61"/>
      <c r="F14" s="61"/>
      <c r="G14" s="61"/>
      <c r="H14" s="61"/>
      <c r="I14" s="61"/>
      <c r="J14" s="61"/>
      <c r="K14" s="61"/>
      <c r="M14" s="64" t="s">
        <v>129</v>
      </c>
      <c r="N14" s="64"/>
      <c r="Q14" s="65" t="s">
        <v>130</v>
      </c>
      <c r="R14" s="65"/>
    </row>
    <row r="15" spans="2:18" ht="15" customHeight="1" x14ac:dyDescent="0.25">
      <c r="B15" s="61"/>
      <c r="C15" s="61"/>
      <c r="D15" s="61"/>
      <c r="E15" s="61"/>
      <c r="F15" s="61"/>
      <c r="G15" s="61"/>
      <c r="H15" s="61"/>
      <c r="I15" s="61"/>
      <c r="J15" s="61"/>
      <c r="K15" s="61"/>
      <c r="M15" s="64"/>
      <c r="N15" s="64"/>
      <c r="Q15" s="65"/>
      <c r="R15" s="65"/>
    </row>
    <row r="16" spans="2:18" ht="15" customHeight="1" x14ac:dyDescent="0.25">
      <c r="B16" s="61"/>
      <c r="C16" s="61"/>
      <c r="D16" s="61"/>
      <c r="E16" s="61"/>
      <c r="F16" s="61"/>
      <c r="G16" s="61"/>
      <c r="H16" s="61"/>
      <c r="I16" s="61"/>
      <c r="J16" s="61"/>
      <c r="K16" s="61"/>
      <c r="M16" s="31"/>
      <c r="N16" s="31"/>
      <c r="Q16" s="31"/>
      <c r="R16" s="31"/>
    </row>
    <row r="17" spans="2:11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</row>
    <row r="18" spans="2:11" x14ac:dyDescent="0.25">
      <c r="B18" s="61"/>
      <c r="C18" s="61"/>
      <c r="D18" s="61"/>
      <c r="E18" s="61"/>
      <c r="F18" s="61"/>
      <c r="G18" s="61"/>
      <c r="H18" s="61"/>
      <c r="I18" s="61"/>
      <c r="J18" s="61"/>
      <c r="K18" s="61"/>
    </row>
    <row r="19" spans="2:11" x14ac:dyDescent="0.25">
      <c r="B19" s="61"/>
      <c r="C19" s="61"/>
      <c r="D19" s="61"/>
      <c r="E19" s="61"/>
      <c r="F19" s="61"/>
      <c r="G19" s="61"/>
      <c r="H19" s="61"/>
      <c r="I19" s="61"/>
      <c r="J19" s="61"/>
      <c r="K19" s="61"/>
    </row>
    <row r="20" spans="2:11" x14ac:dyDescent="0.25">
      <c r="B20" s="61"/>
      <c r="C20" s="61"/>
      <c r="D20" s="61"/>
      <c r="E20" s="61"/>
      <c r="F20" s="61"/>
      <c r="G20" s="61"/>
      <c r="H20" s="61"/>
      <c r="I20" s="61"/>
      <c r="J20" s="61"/>
      <c r="K20" s="61"/>
    </row>
    <row r="21" spans="2:11" x14ac:dyDescent="0.25">
      <c r="B21" s="61"/>
      <c r="C21" s="61"/>
      <c r="D21" s="61"/>
      <c r="E21" s="61"/>
      <c r="F21" s="61"/>
      <c r="G21" s="61"/>
      <c r="H21" s="61"/>
      <c r="I21" s="61"/>
      <c r="J21" s="61"/>
      <c r="K21" s="61"/>
    </row>
    <row r="22" spans="2:11" x14ac:dyDescent="0.25">
      <c r="B22" s="61"/>
      <c r="C22" s="61"/>
      <c r="D22" s="61"/>
      <c r="E22" s="61"/>
      <c r="F22" s="61"/>
      <c r="G22" s="61"/>
      <c r="H22" s="61"/>
      <c r="I22" s="61"/>
      <c r="J22" s="61"/>
      <c r="K22" s="61"/>
    </row>
    <row r="23" spans="2:11" x14ac:dyDescent="0.25">
      <c r="B23" s="61"/>
      <c r="C23" s="61"/>
      <c r="D23" s="61"/>
      <c r="E23" s="61"/>
      <c r="F23" s="61"/>
      <c r="G23" s="61"/>
      <c r="H23" s="61"/>
      <c r="I23" s="61"/>
      <c r="J23" s="61"/>
      <c r="K23" s="61"/>
    </row>
    <row r="24" spans="2:11" x14ac:dyDescent="0.25">
      <c r="B24" s="61"/>
      <c r="C24" s="61"/>
      <c r="D24" s="61"/>
      <c r="E24" s="61"/>
      <c r="F24" s="61"/>
      <c r="G24" s="61"/>
      <c r="H24" s="61"/>
      <c r="I24" s="61"/>
      <c r="J24" s="61"/>
      <c r="K24" s="61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Q14:R15" location="UnosPodataka!B2" display="DALJE"/>
    <hyperlink ref="M14:N15" r:id="rId1" display="NAZAD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C21" sqref="C21"/>
    </sheetView>
  </sheetViews>
  <sheetFormatPr defaultRowHeight="15" x14ac:dyDescent="0.25"/>
  <sheetData>
    <row r="3" spans="1:9" ht="16.5" x14ac:dyDescent="0.35">
      <c r="F3" s="60" t="s">
        <v>150</v>
      </c>
      <c r="G3" s="60"/>
      <c r="H3" s="60"/>
      <c r="I3" s="60"/>
    </row>
    <row r="7" spans="1:9" ht="15" customHeight="1" x14ac:dyDescent="0.25">
      <c r="A7" s="62" t="s">
        <v>102</v>
      </c>
      <c r="B7" s="62"/>
      <c r="C7" s="62"/>
      <c r="D7" s="62"/>
    </row>
    <row r="8" spans="1:9" ht="15" customHeight="1" x14ac:dyDescent="0.25">
      <c r="A8" s="62"/>
      <c r="B8" s="62"/>
      <c r="C8" s="62"/>
      <c r="D8" s="62"/>
    </row>
    <row r="9" spans="1:9" x14ac:dyDescent="0.25">
      <c r="A9" s="62"/>
      <c r="B9" s="62"/>
      <c r="C9" s="62"/>
      <c r="D9" s="62"/>
    </row>
    <row r="11" spans="1:9" x14ac:dyDescent="0.25">
      <c r="A11" s="64" t="s">
        <v>129</v>
      </c>
      <c r="B11" s="64"/>
      <c r="C11" s="65" t="s">
        <v>130</v>
      </c>
      <c r="D11" s="65"/>
    </row>
    <row r="12" spans="1:9" x14ac:dyDescent="0.25">
      <c r="A12" s="64"/>
      <c r="B12" s="64"/>
      <c r="C12" s="65"/>
      <c r="D12" s="65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0"/>
  <sheetViews>
    <sheetView topLeftCell="D1" workbookViewId="0">
      <selection activeCell="F13" sqref="F13:Y13"/>
    </sheetView>
  </sheetViews>
  <sheetFormatPr defaultRowHeight="15" x14ac:dyDescent="0.25"/>
  <cols>
    <col min="6" max="6" width="10.42578125" customWidth="1"/>
  </cols>
  <sheetData>
    <row r="3" spans="1:28" ht="16.5" x14ac:dyDescent="0.35">
      <c r="F3" s="60" t="s">
        <v>150</v>
      </c>
      <c r="G3" s="60"/>
      <c r="H3" s="60"/>
      <c r="I3" s="60"/>
    </row>
    <row r="7" spans="1:28" ht="18.75" x14ac:dyDescent="0.3">
      <c r="A7" s="79" t="s">
        <v>103</v>
      </c>
      <c r="B7" s="79"/>
      <c r="C7" s="79"/>
      <c r="D7" s="79"/>
      <c r="I7" s="76" t="s">
        <v>129</v>
      </c>
      <c r="J7" s="76"/>
      <c r="N7" s="77" t="s">
        <v>130</v>
      </c>
      <c r="O7" s="77"/>
    </row>
    <row r="8" spans="1:28" x14ac:dyDescent="0.25">
      <c r="A8" s="79"/>
      <c r="B8" s="79"/>
      <c r="C8" s="79"/>
      <c r="D8" s="79"/>
    </row>
    <row r="10" spans="1:28" x14ac:dyDescent="0.25">
      <c r="A10" s="69" t="s">
        <v>104</v>
      </c>
      <c r="B10" s="69"/>
      <c r="C10" s="69"/>
      <c r="D10" s="69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  <c r="Z10" s="15"/>
      <c r="AA10" s="15"/>
      <c r="AB10" s="15"/>
    </row>
    <row r="12" spans="1:28" x14ac:dyDescent="0.25">
      <c r="A12" s="70" t="s">
        <v>105</v>
      </c>
      <c r="B12" s="70"/>
      <c r="C12" s="70"/>
      <c r="D12" s="70"/>
      <c r="E12" s="2"/>
      <c r="F12" s="2">
        <f>Investment</f>
        <v>218000</v>
      </c>
    </row>
    <row r="13" spans="1:28" x14ac:dyDescent="0.25">
      <c r="A13" s="70" t="s">
        <v>106</v>
      </c>
      <c r="B13" s="70"/>
      <c r="C13" s="70"/>
      <c r="D13" s="70"/>
      <c r="F13" s="2">
        <f>IF(F10&lt;&gt;"",-(FinaIndicators!F28+FinaIndicators!F33),"")</f>
        <v>52715.995541509052</v>
      </c>
      <c r="G13" s="2">
        <f>IF(G10&lt;&gt;"",-(FinaIndicators!G28+FinaIndicators!G33),"")</f>
        <v>52462.818493462328</v>
      </c>
      <c r="H13" s="2">
        <f>IF(H10&lt;&gt;"",-(FinaIndicators!H28+FinaIndicators!H33),"")</f>
        <v>52179.26019964998</v>
      </c>
      <c r="I13" s="2">
        <f>IF(I10&lt;&gt;"",-(FinaIndicators!I28+FinaIndicators!I33),"")</f>
        <v>51861.674910580157</v>
      </c>
      <c r="J13" s="2">
        <f>IF(J10&lt;&gt;"",-(FinaIndicators!J28+FinaIndicators!J33),"")</f>
        <v>51505.979386821957</v>
      </c>
      <c r="K13" s="2">
        <f>IF(K10&lt;&gt;"",-(FinaIndicators!K28+FinaIndicators!K33),"")</f>
        <v>51107.600400212774</v>
      </c>
      <c r="L13" s="2">
        <f>IF(L10&lt;&gt;"",-(FinaIndicators!L28+FinaIndicators!L33),"")</f>
        <v>50661.415935210491</v>
      </c>
      <c r="M13" s="2">
        <f>IF(M10&lt;&gt;"",-(FinaIndicators!M28+FinaIndicators!M33),"")</f>
        <v>50161.689334407929</v>
      </c>
      <c r="N13" s="2">
        <f>IF(N10&lt;&gt;"",-(FinaIndicators!N28+FinaIndicators!N33),"")</f>
        <v>14776.60398335721</v>
      </c>
      <c r="O13" s="2">
        <f>IF(O10&lt;&gt;"",-(FinaIndicators!O28+FinaIndicators!O33),"")</f>
        <v>14776.60398335721</v>
      </c>
      <c r="P13" s="2">
        <f>IF(P10&lt;&gt;"",-(FinaIndicators!P28+FinaIndicators!P33),"")</f>
        <v>14776.60398335721</v>
      </c>
      <c r="Q13" s="2">
        <f>IF(Q10&lt;&gt;"",-(FinaIndicators!Q28+FinaIndicators!Q33),"")</f>
        <v>14776.60398335721</v>
      </c>
      <c r="R13" s="2">
        <f>IF(R10&lt;&gt;"",-(FinaIndicators!R28+FinaIndicators!R33),"")</f>
        <v>14776.60398335721</v>
      </c>
      <c r="S13" s="2">
        <f>IF(S10&lt;&gt;"",-(FinaIndicators!S28+FinaIndicators!S33),"")</f>
        <v>14776.60398335721</v>
      </c>
      <c r="T13" s="2">
        <f>IF(T10&lt;&gt;"",-(FinaIndicators!T28+FinaIndicators!T33),"")</f>
        <v>14776.60398335721</v>
      </c>
      <c r="U13" s="2">
        <f>IF(U10&lt;&gt;"",-(FinaIndicators!U28+FinaIndicators!U33),"")</f>
        <v>14776.60398335721</v>
      </c>
      <c r="V13" s="2">
        <f>IF(V10&lt;&gt;"",-(FinaIndicators!V28+FinaIndicators!V33),"")</f>
        <v>14776.60398335721</v>
      </c>
      <c r="W13" s="2">
        <f>IF(W10&lt;&gt;"",-(FinaIndicators!W28+FinaIndicators!W33),"")</f>
        <v>14776.60398335721</v>
      </c>
      <c r="X13" s="2">
        <f>IF(X10&lt;&gt;"",-(FinaIndicators!X28+FinaIndicators!X33),"")</f>
        <v>14776.60398335721</v>
      </c>
      <c r="Y13" s="2">
        <f>IF(Y10&lt;&gt;"",-(FinaIndicators!Y28+FinaIndicators!Y33),"")</f>
        <v>14776.60398335721</v>
      </c>
    </row>
    <row r="14" spans="1:28" x14ac:dyDescent="0.25">
      <c r="A14" s="70" t="s">
        <v>107</v>
      </c>
      <c r="B14" s="70"/>
      <c r="C14" s="70"/>
      <c r="D14" s="70"/>
      <c r="E14" s="2"/>
      <c r="F14" s="2">
        <f t="shared" ref="F14:Y14" si="0">IF(F10&lt;&gt;"",F12+F13,"")</f>
        <v>270715.99554150907</v>
      </c>
      <c r="G14" s="2">
        <f t="shared" si="0"/>
        <v>52462.818493462328</v>
      </c>
      <c r="H14" s="2">
        <f t="shared" si="0"/>
        <v>52179.26019964998</v>
      </c>
      <c r="I14" s="2">
        <f t="shared" si="0"/>
        <v>51861.674910580157</v>
      </c>
      <c r="J14" s="2">
        <f t="shared" si="0"/>
        <v>51505.979386821957</v>
      </c>
      <c r="K14" s="2">
        <f t="shared" si="0"/>
        <v>51107.600400212774</v>
      </c>
      <c r="L14" s="2">
        <f t="shared" si="0"/>
        <v>50661.415935210491</v>
      </c>
      <c r="M14" s="2">
        <f t="shared" si="0"/>
        <v>50161.689334407929</v>
      </c>
      <c r="N14" s="2">
        <f t="shared" si="0"/>
        <v>14776.60398335721</v>
      </c>
      <c r="O14" s="2">
        <f t="shared" si="0"/>
        <v>14776.60398335721</v>
      </c>
      <c r="P14" s="2">
        <f t="shared" si="0"/>
        <v>14776.60398335721</v>
      </c>
      <c r="Q14" s="2">
        <f t="shared" si="0"/>
        <v>14776.60398335721</v>
      </c>
      <c r="R14" s="2">
        <f t="shared" si="0"/>
        <v>14776.60398335721</v>
      </c>
      <c r="S14" s="2">
        <f t="shared" si="0"/>
        <v>14776.60398335721</v>
      </c>
      <c r="T14" s="2">
        <f t="shared" si="0"/>
        <v>14776.60398335721</v>
      </c>
      <c r="U14" s="2">
        <f t="shared" si="0"/>
        <v>14776.60398335721</v>
      </c>
      <c r="V14" s="2">
        <f t="shared" si="0"/>
        <v>14776.60398335721</v>
      </c>
      <c r="W14" s="2">
        <f t="shared" si="0"/>
        <v>14776.60398335721</v>
      </c>
      <c r="X14" s="2">
        <f t="shared" si="0"/>
        <v>14776.60398335721</v>
      </c>
      <c r="Y14" s="2">
        <f t="shared" si="0"/>
        <v>14776.60398335721</v>
      </c>
    </row>
    <row r="15" spans="1:28" x14ac:dyDescent="0.25">
      <c r="A15" s="74"/>
      <c r="B15" s="74"/>
      <c r="C15" s="74"/>
      <c r="D15" s="74"/>
    </row>
    <row r="16" spans="1:28" x14ac:dyDescent="0.25">
      <c r="A16" s="70" t="s">
        <v>94</v>
      </c>
      <c r="B16" s="70"/>
      <c r="C16" s="70"/>
      <c r="D16" s="70"/>
      <c r="F16" s="2">
        <f>IF(F10&lt;&gt;"",FinaIndicators!F14,"")</f>
        <v>2148.2999999999997</v>
      </c>
      <c r="G16" s="2">
        <f>IF(G10&lt;&gt;"",FinaIndicators!G14,"")</f>
        <v>2148.2999999999997</v>
      </c>
      <c r="H16" s="2">
        <f>IF(H10&lt;&gt;"",FinaIndicators!H14,"")</f>
        <v>2148.2999999999997</v>
      </c>
      <c r="I16" s="2">
        <f>IF(I10&lt;&gt;"",FinaIndicators!I14,"")</f>
        <v>2148.2999999999997</v>
      </c>
      <c r="J16" s="2">
        <f>IF(J10&lt;&gt;"",FinaIndicators!J14,"")</f>
        <v>2148.2999999999997</v>
      </c>
      <c r="K16" s="2">
        <f>IF(K10&lt;&gt;"",FinaIndicators!K14,"")</f>
        <v>2148.2999999999997</v>
      </c>
      <c r="L16" s="2">
        <f>IF(L10&lt;&gt;"",FinaIndicators!L14,"")</f>
        <v>2148.2999999999997</v>
      </c>
      <c r="M16" s="2">
        <f>IF(M10&lt;&gt;"",FinaIndicators!M14,"")</f>
        <v>2148.2999999999997</v>
      </c>
      <c r="N16" s="2">
        <f>IF(N10&lt;&gt;"",FinaIndicators!N14,"")</f>
        <v>2148.2999999999997</v>
      </c>
      <c r="O16" s="2">
        <f>IF(O10&lt;&gt;"",FinaIndicators!O14,"")</f>
        <v>2148.2999999999997</v>
      </c>
      <c r="P16" s="2">
        <f>IF(P10&lt;&gt;"",FinaIndicators!P14,"")</f>
        <v>2148.2999999999997</v>
      </c>
      <c r="Q16" s="2">
        <f>IF(Q10&lt;&gt;"",FinaIndicators!Q14,"")</f>
        <v>2148.2999999999997</v>
      </c>
      <c r="R16" s="2">
        <f>IF(R10&lt;&gt;"",FinaIndicators!R14,"")</f>
        <v>2148.2999999999997</v>
      </c>
      <c r="S16" s="2">
        <f>IF(S10&lt;&gt;"",FinaIndicators!S14,"")</f>
        <v>2148.2999999999997</v>
      </c>
      <c r="T16" s="2">
        <f>IF(T10&lt;&gt;"",FinaIndicators!T14,"")</f>
        <v>2148.2999999999997</v>
      </c>
      <c r="U16" s="2">
        <f>IF(U10&lt;&gt;"",FinaIndicators!U14,"")</f>
        <v>2148.2999999999997</v>
      </c>
      <c r="V16" s="2">
        <f>IF(V10&lt;&gt;"",FinaIndicators!V14,"")</f>
        <v>2148.2999999999997</v>
      </c>
      <c r="W16" s="2">
        <f>IF(W10&lt;&gt;"",FinaIndicators!W14,"")</f>
        <v>2148.2999999999997</v>
      </c>
      <c r="X16" s="2">
        <f>IF(X10&lt;&gt;"",FinaIndicators!X14,"")</f>
        <v>2148.2999999999997</v>
      </c>
      <c r="Y16" s="2">
        <f>IF(Y10&lt;&gt;"",FinaIndicators!Y14,"")</f>
        <v>2148.2999999999997</v>
      </c>
    </row>
    <row r="17" spans="1:25" ht="18" x14ac:dyDescent="0.35">
      <c r="A17" s="70" t="s">
        <v>108</v>
      </c>
      <c r="B17" s="70"/>
      <c r="C17" s="70"/>
      <c r="D17" s="70"/>
      <c r="F17" s="2">
        <f>IF(F10&lt;&gt;"",F16*UnosPodataka!$M$23,"")</f>
        <v>105.26669999999999</v>
      </c>
      <c r="G17" s="2">
        <f>IF(G10&lt;&gt;"",G16*UnosPodataka!$M$23,"")</f>
        <v>105.26669999999999</v>
      </c>
      <c r="H17" s="2">
        <f>IF(H10&lt;&gt;"",H16*UnosPodataka!$M$23,"")</f>
        <v>105.26669999999999</v>
      </c>
      <c r="I17" s="2">
        <f>IF(I10&lt;&gt;"",I16*UnosPodataka!$M$23,"")</f>
        <v>105.26669999999999</v>
      </c>
      <c r="J17" s="2">
        <f>IF(J10&lt;&gt;"",J16*UnosPodataka!$M$23,"")</f>
        <v>105.26669999999999</v>
      </c>
      <c r="K17" s="2">
        <f>IF(K10&lt;&gt;"",K16*UnosPodataka!$M$23,"")</f>
        <v>105.26669999999999</v>
      </c>
      <c r="L17" s="2">
        <f>IF(L10&lt;&gt;"",L16*UnosPodataka!$M$23,"")</f>
        <v>105.26669999999999</v>
      </c>
      <c r="M17" s="2">
        <f>IF(M10&lt;&gt;"",M16*UnosPodataka!$M$23,"")</f>
        <v>105.26669999999999</v>
      </c>
      <c r="N17" s="2">
        <f>IF(N10&lt;&gt;"",N16*UnosPodataka!$M$23,"")</f>
        <v>105.26669999999999</v>
      </c>
      <c r="O17" s="2">
        <f>IF(O10&lt;&gt;"",O16*UnosPodataka!$M$23,"")</f>
        <v>105.26669999999999</v>
      </c>
      <c r="P17" s="2">
        <f>IF(P10&lt;&gt;"",P16*UnosPodataka!$M$23,"")</f>
        <v>105.26669999999999</v>
      </c>
      <c r="Q17" s="2">
        <f>IF(Q10&lt;&gt;"",Q16*UnosPodataka!$M$23,"")</f>
        <v>105.26669999999999</v>
      </c>
      <c r="R17" s="2">
        <f>IF(R10&lt;&gt;"",R16*UnosPodataka!$M$23,"")</f>
        <v>105.26669999999999</v>
      </c>
      <c r="S17" s="2">
        <f>IF(S10&lt;&gt;"",S16*UnosPodataka!$M$23,"")</f>
        <v>105.26669999999999</v>
      </c>
      <c r="T17" s="2">
        <f>IF(T10&lt;&gt;"",T16*UnosPodataka!$M$23,"")</f>
        <v>105.26669999999999</v>
      </c>
      <c r="U17" s="2">
        <f>IF(U10&lt;&gt;"",U16*UnosPodataka!$M$23,"")</f>
        <v>105.26669999999999</v>
      </c>
      <c r="V17" s="2">
        <f>IF(V10&lt;&gt;"",V16*UnosPodataka!$M$23,"")</f>
        <v>105.26669999999999</v>
      </c>
      <c r="W17" s="2">
        <f>IF(W10&lt;&gt;"",W16*UnosPodataka!$M$23,"")</f>
        <v>105.26669999999999</v>
      </c>
      <c r="X17" s="2">
        <f>IF(X10&lt;&gt;"",X16*UnosPodataka!$M$23,"")</f>
        <v>105.26669999999999</v>
      </c>
      <c r="Y17" s="2">
        <f>IF(Y10&lt;&gt;"",Y16*UnosPodataka!$M$23,"")</f>
        <v>105.26669999999999</v>
      </c>
    </row>
    <row r="19" spans="1:25" x14ac:dyDescent="0.25">
      <c r="A19" s="69" t="s">
        <v>30</v>
      </c>
      <c r="B19" s="69"/>
      <c r="C19" s="69"/>
      <c r="D19" s="69"/>
      <c r="E19" s="2">
        <f>NPV(UnosPodataka!M18,LCoEE!F14:Y14)/NPV(UnosPodataka!M18,LCoEE!F16:Y16)</f>
        <v>24.527699316902357</v>
      </c>
    </row>
    <row r="20" spans="1:25" ht="18" x14ac:dyDescent="0.35">
      <c r="A20" s="69" t="s">
        <v>31</v>
      </c>
      <c r="B20" s="69"/>
      <c r="C20" s="69"/>
      <c r="D20" s="69"/>
      <c r="E20" s="2">
        <f>NPV(UnosPodataka!M18,LCoEE!F14:Y14)/NPV(UnosPodataka!M18,LCoEE!F17:Y17)</f>
        <v>500.5652921816806</v>
      </c>
    </row>
  </sheetData>
  <sheetProtection selectLockedCells="1"/>
  <mergeCells count="13">
    <mergeCell ref="N7:O7"/>
    <mergeCell ref="A16:D16"/>
    <mergeCell ref="A17:D17"/>
    <mergeCell ref="A19:D19"/>
    <mergeCell ref="F3:I3"/>
    <mergeCell ref="I7:J7"/>
    <mergeCell ref="A20:D20"/>
    <mergeCell ref="A7:D8"/>
    <mergeCell ref="A10:D10"/>
    <mergeCell ref="A12:D12"/>
    <mergeCell ref="A13:D13"/>
    <mergeCell ref="A14:D14"/>
    <mergeCell ref="A15:D15"/>
  </mergeCells>
  <hyperlinks>
    <hyperlink ref="I7:J7" location="GraphEcon!A5" display="NAZAD"/>
    <hyperlink ref="N7:O7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3"/>
  <sheetViews>
    <sheetView topLeftCell="A6" workbookViewId="0">
      <selection activeCell="A18" sqref="A18:D18"/>
    </sheetView>
  </sheetViews>
  <sheetFormatPr defaultRowHeight="15" x14ac:dyDescent="0.25"/>
  <cols>
    <col min="1" max="1" width="12.42578125" customWidth="1"/>
    <col min="4" max="4" width="11.7109375" customWidth="1"/>
  </cols>
  <sheetData>
    <row r="3" spans="1:9" ht="16.5" x14ac:dyDescent="0.35">
      <c r="F3" s="60" t="s">
        <v>150</v>
      </c>
      <c r="G3" s="60"/>
      <c r="H3" s="60"/>
      <c r="I3" s="60"/>
    </row>
    <row r="6" spans="1:9" ht="21" x14ac:dyDescent="0.35">
      <c r="A6" s="67" t="s">
        <v>109</v>
      </c>
      <c r="B6" s="67"/>
      <c r="C6" s="67"/>
      <c r="D6" s="67"/>
    </row>
    <row r="7" spans="1:9" ht="15.75" thickBot="1" x14ac:dyDescent="0.3"/>
    <row r="8" spans="1:9" ht="15.75" thickBot="1" x14ac:dyDescent="0.3">
      <c r="B8" s="44" t="s">
        <v>177</v>
      </c>
      <c r="C8" s="45"/>
      <c r="D8" s="44" t="s">
        <v>178</v>
      </c>
      <c r="E8" s="45"/>
    </row>
    <row r="9" spans="1:9" ht="15.75" thickBot="1" x14ac:dyDescent="0.3">
      <c r="B9" s="46" t="s">
        <v>179</v>
      </c>
      <c r="C9" s="46" t="s">
        <v>180</v>
      </c>
      <c r="D9" s="46" t="s">
        <v>179</v>
      </c>
      <c r="E9" s="46" t="s">
        <v>180</v>
      </c>
    </row>
    <row r="11" spans="1:9" x14ac:dyDescent="0.25">
      <c r="A11" s="47" t="s">
        <v>181</v>
      </c>
      <c r="B11" s="48">
        <v>-102028.57108605771</v>
      </c>
      <c r="C11" s="49">
        <v>2.4593997218858465E-2</v>
      </c>
      <c r="D11" s="48">
        <v>7605.9727671476812</v>
      </c>
      <c r="E11" s="6">
        <v>7.4381074124033386E-2</v>
      </c>
    </row>
    <row r="13" spans="1:9" x14ac:dyDescent="0.25">
      <c r="A13" s="47" t="s">
        <v>182</v>
      </c>
    </row>
    <row r="14" spans="1:9" x14ac:dyDescent="0.25">
      <c r="A14" s="16">
        <v>0.1</v>
      </c>
      <c r="B14" s="48">
        <v>-67643.192106183793</v>
      </c>
      <c r="C14" s="49">
        <v>4.0620275271916917E-2</v>
      </c>
      <c r="D14" s="48">
        <v>39686.837282422661</v>
      </c>
      <c r="E14" s="6">
        <v>8.833004848257775E-2</v>
      </c>
    </row>
    <row r="15" spans="1:9" x14ac:dyDescent="0.25">
      <c r="A15" s="16">
        <v>-0.1</v>
      </c>
      <c r="B15" s="48">
        <v>-136843.76592342323</v>
      </c>
      <c r="C15" s="49">
        <v>7.7899024435832409E-3</v>
      </c>
      <c r="D15" s="48">
        <v>-25066.577060958894</v>
      </c>
      <c r="E15" s="6">
        <v>5.9907829088323483E-2</v>
      </c>
    </row>
    <row r="16" spans="1:9" x14ac:dyDescent="0.25">
      <c r="A16" t="s">
        <v>183</v>
      </c>
      <c r="B16" s="49">
        <v>0.30299999999999999</v>
      </c>
      <c r="C16" s="49"/>
      <c r="D16" s="49">
        <v>-2.3699999999999999E-2</v>
      </c>
      <c r="E16" s="6"/>
    </row>
    <row r="18" spans="1:5" x14ac:dyDescent="0.25">
      <c r="A18" s="80" t="s">
        <v>74</v>
      </c>
      <c r="B18" s="80"/>
      <c r="C18" s="80"/>
      <c r="D18" s="80"/>
    </row>
    <row r="19" spans="1:5" x14ac:dyDescent="0.25">
      <c r="A19" s="16">
        <v>0.1</v>
      </c>
      <c r="B19" s="48"/>
      <c r="C19" s="49"/>
      <c r="D19" s="48">
        <v>18081.330784500558</v>
      </c>
      <c r="E19" s="6">
        <v>7.8962551318195517E-2</v>
      </c>
    </row>
    <row r="20" spans="1:5" x14ac:dyDescent="0.25">
      <c r="A20" s="16">
        <v>-0.1</v>
      </c>
      <c r="B20" s="48"/>
      <c r="C20" s="49"/>
      <c r="D20" s="48">
        <v>-2943.2071596911815</v>
      </c>
      <c r="E20" s="6">
        <v>6.9737808568235193E-2</v>
      </c>
    </row>
    <row r="21" spans="1:5" x14ac:dyDescent="0.25">
      <c r="A21" t="s">
        <v>183</v>
      </c>
      <c r="B21" s="49"/>
      <c r="C21" s="49"/>
      <c r="D21" s="49">
        <v>-7.1999999999999995E-2</v>
      </c>
      <c r="E21" s="6"/>
    </row>
    <row r="22" spans="1:5" x14ac:dyDescent="0.25">
      <c r="B22" s="49"/>
      <c r="C22" s="49"/>
      <c r="D22" s="49"/>
      <c r="E22" s="6"/>
    </row>
    <row r="23" spans="1:5" x14ac:dyDescent="0.25">
      <c r="A23" s="47" t="s">
        <v>184</v>
      </c>
      <c r="B23" s="49"/>
      <c r="C23" s="49"/>
      <c r="D23" s="49"/>
      <c r="E23" s="6"/>
    </row>
    <row r="24" spans="1:5" x14ac:dyDescent="0.25">
      <c r="A24" s="16">
        <v>0.1</v>
      </c>
      <c r="B24" s="48">
        <v>-149472.05661703527</v>
      </c>
      <c r="C24" s="49">
        <v>8.15204131785352E-3</v>
      </c>
      <c r="D24" s="48">
        <v>-36390.27190448458</v>
      </c>
      <c r="E24" s="6">
        <v>5.5391107386841387E-2</v>
      </c>
    </row>
    <row r="25" spans="1:5" x14ac:dyDescent="0.25">
      <c r="A25" s="16">
        <v>-0.1</v>
      </c>
      <c r="B25" s="48">
        <v>-55822.018501550869</v>
      </c>
      <c r="C25" s="49">
        <v>4.4058805751370667E-2</v>
      </c>
      <c r="D25" s="48">
        <v>49621.294601621885</v>
      </c>
      <c r="E25" s="6">
        <v>9.6836131572493489E-2</v>
      </c>
    </row>
    <row r="26" spans="1:5" x14ac:dyDescent="0.25">
      <c r="A26" t="s">
        <v>183</v>
      </c>
      <c r="B26" s="49">
        <v>-0.22750000000000001</v>
      </c>
      <c r="C26" s="49"/>
      <c r="D26" s="49">
        <v>1.7999999999999999E-2</v>
      </c>
      <c r="E26" s="6"/>
    </row>
    <row r="30" spans="1:5" x14ac:dyDescent="0.25">
      <c r="A30" s="64" t="s">
        <v>129</v>
      </c>
      <c r="B30" s="64"/>
      <c r="D30" s="65" t="s">
        <v>130</v>
      </c>
      <c r="E30" s="65"/>
    </row>
    <row r="31" spans="1:5" x14ac:dyDescent="0.25">
      <c r="A31" s="64"/>
      <c r="B31" s="64"/>
      <c r="D31" s="65"/>
      <c r="E31" s="65"/>
    </row>
    <row r="33" spans="2:5" hidden="1" x14ac:dyDescent="0.25">
      <c r="B33" s="48">
        <f>+FinaIndicators!$E$43</f>
        <v>651405.89795003412</v>
      </c>
      <c r="C33" s="49">
        <f>+FinaIndicators!$E$44</f>
        <v>0.34859553344467153</v>
      </c>
      <c r="D33" s="48">
        <f>+'FinInd+CO2'!$E$44</f>
        <v>651405.89795003412</v>
      </c>
      <c r="E33" s="6">
        <f>+'FinInd+CO2'!$E$45</f>
        <v>0.34859553344467153</v>
      </c>
    </row>
  </sheetData>
  <sheetProtection selectLockedCells="1" selectUnlockedCells="1"/>
  <mergeCells count="5">
    <mergeCell ref="F3:I3"/>
    <mergeCell ref="A30:B31"/>
    <mergeCell ref="D30:E31"/>
    <mergeCell ref="A6:D6"/>
    <mergeCell ref="A18:D18"/>
  </mergeCells>
  <hyperlinks>
    <hyperlink ref="A30:B31" location="LCoEE!I1" display="NAZAD"/>
    <hyperlink ref="D30:E31" location="AkoESCO!A1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A18:D18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I20" sqref="I20"/>
    </sheetView>
  </sheetViews>
  <sheetFormatPr defaultRowHeight="15" x14ac:dyDescent="0.25"/>
  <cols>
    <col min="5" max="5" width="12.42578125" customWidth="1"/>
  </cols>
  <sheetData>
    <row r="3" spans="1:25" ht="16.5" x14ac:dyDescent="0.35">
      <c r="F3" s="60" t="s">
        <v>150</v>
      </c>
      <c r="G3" s="60"/>
      <c r="H3" s="60"/>
      <c r="I3" s="60"/>
    </row>
    <row r="7" spans="1:25" ht="18.75" x14ac:dyDescent="0.3">
      <c r="A7" s="62" t="s">
        <v>131</v>
      </c>
      <c r="B7" s="62"/>
      <c r="C7" s="62"/>
      <c r="D7" s="62"/>
      <c r="I7" s="76" t="s">
        <v>129</v>
      </c>
      <c r="J7" s="76"/>
      <c r="N7" s="65" t="s">
        <v>130</v>
      </c>
      <c r="O7" s="65"/>
    </row>
    <row r="8" spans="1:25" x14ac:dyDescent="0.25">
      <c r="A8" s="62"/>
      <c r="B8" s="62"/>
      <c r="C8" s="62"/>
      <c r="D8" s="62"/>
    </row>
    <row r="10" spans="1:25" x14ac:dyDescent="0.25">
      <c r="A10" s="63" t="s">
        <v>104</v>
      </c>
      <c r="B10" s="63"/>
      <c r="C10" s="63"/>
      <c r="D10" s="63"/>
      <c r="E10" s="17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</row>
    <row r="12" spans="1:25" x14ac:dyDescent="0.25">
      <c r="A12" s="70" t="s">
        <v>132</v>
      </c>
      <c r="B12" s="70"/>
      <c r="C12" s="70"/>
      <c r="D12" s="70"/>
      <c r="E12" s="2">
        <v>0</v>
      </c>
      <c r="F12" s="2">
        <f>IF(F10&lt;&gt;"",-FinaIndicators!F27,"")</f>
        <v>0</v>
      </c>
      <c r="G12" s="2">
        <f>IF(G10&lt;&gt;"",-FinaIndicators!G27,"")</f>
        <v>0</v>
      </c>
      <c r="H12" s="2">
        <f>IF(H10&lt;&gt;"",-FinaIndicators!H27,"")</f>
        <v>0</v>
      </c>
      <c r="I12" s="2">
        <f>IF(I10&lt;&gt;"",-FinaIndicators!I27,"")</f>
        <v>0</v>
      </c>
      <c r="J12" s="2">
        <f>IF(J10&lt;&gt;"",-FinaIndicators!J27,"")</f>
        <v>0</v>
      </c>
      <c r="K12" s="2">
        <f>IF(K10&lt;&gt;"",-FinaIndicators!K27,"")</f>
        <v>0</v>
      </c>
      <c r="L12" s="2">
        <f>IF(L10&lt;&gt;"",-FinaIndicators!L27,"")</f>
        <v>0</v>
      </c>
      <c r="M12" s="2">
        <f>IF(M10&lt;&gt;"",-FinaIndicators!M27,"")</f>
        <v>0</v>
      </c>
      <c r="N12" s="2">
        <f>IF(N10&lt;&gt;"",-FinaIndicators!N27,"")</f>
        <v>0</v>
      </c>
      <c r="O12" s="2">
        <f>IF(O10&lt;&gt;"",-FinaIndicators!O27,"")</f>
        <v>0</v>
      </c>
      <c r="P12" s="2">
        <f>IF(P10&lt;&gt;"",-FinaIndicators!P27,"")</f>
        <v>0</v>
      </c>
      <c r="Q12" s="2">
        <f>IF(Q10&lt;&gt;"",-FinaIndicators!Q27,"")</f>
        <v>0</v>
      </c>
      <c r="R12" s="2">
        <f>IF(R10&lt;&gt;"",-FinaIndicators!R27,"")</f>
        <v>0</v>
      </c>
      <c r="S12" s="2">
        <f>IF(S10&lt;&gt;"",-FinaIndicators!S27,"")</f>
        <v>0</v>
      </c>
      <c r="T12" s="2">
        <f>IF(T10&lt;&gt;"",-FinaIndicators!T27,"")</f>
        <v>0</v>
      </c>
      <c r="U12" s="2">
        <f>IF(U10&lt;&gt;"",-FinaIndicators!U27,"")</f>
        <v>0</v>
      </c>
      <c r="V12" s="2">
        <f>IF(V10&lt;&gt;"",-FinaIndicators!V27,"")</f>
        <v>0</v>
      </c>
      <c r="W12" s="2">
        <f>IF(W10&lt;&gt;"",-FinaIndicators!W27,"")</f>
        <v>0</v>
      </c>
      <c r="X12" s="2">
        <f>IF(X10&lt;&gt;"",-FinaIndicators!X27,"")</f>
        <v>0</v>
      </c>
      <c r="Y12" s="2">
        <f>IF(Y10&lt;&gt;"",-FinaIndicators!Y27,"")</f>
        <v>0</v>
      </c>
    </row>
    <row r="13" spans="1:25" x14ac:dyDescent="0.25">
      <c r="A13" s="70" t="s">
        <v>133</v>
      </c>
      <c r="B13" s="70"/>
      <c r="C13" s="70"/>
      <c r="D13" s="70"/>
      <c r="E13" s="2">
        <v>0</v>
      </c>
      <c r="F13" s="2">
        <f>IF(F10&lt;&gt;"",F12*(1+UnosPodataka!$M$18)^(-F10),"")</f>
        <v>0</v>
      </c>
      <c r="G13" s="2">
        <f>IF(G10&lt;&gt;"",G12*(1+UnosPodataka!$M$18)^(-G10),"")</f>
        <v>0</v>
      </c>
      <c r="H13" s="2">
        <f>IF(H10&lt;&gt;"",H12*(1+UnosPodataka!$M$18)^(-H10),"")</f>
        <v>0</v>
      </c>
      <c r="I13" s="2">
        <f>IF(I10&lt;&gt;"",I12*(1+UnosPodataka!$M$18)^(-I10),"")</f>
        <v>0</v>
      </c>
      <c r="J13" s="2">
        <f>IF(J10&lt;&gt;"",J12*(1+UnosPodataka!$M$18)^(-J10),"")</f>
        <v>0</v>
      </c>
      <c r="K13" s="2">
        <f>IF(K10&lt;&gt;"",K12*(1+UnosPodataka!$M$18)^(-K10),"")</f>
        <v>0</v>
      </c>
      <c r="L13" s="2">
        <f>IF(L10&lt;&gt;"",L12*(1+UnosPodataka!$M$18)^(-L10),"")</f>
        <v>0</v>
      </c>
      <c r="M13" s="2">
        <f>IF(M10&lt;&gt;"",M12*(1+UnosPodataka!$M$18)^(-M10),"")</f>
        <v>0</v>
      </c>
      <c r="N13" s="2">
        <f>IF(N10&lt;&gt;"",N12*(1+UnosPodataka!$M$18)^(-N10),"")</f>
        <v>0</v>
      </c>
      <c r="O13" s="2">
        <f>IF(O10&lt;&gt;"",O12*(1+UnosPodataka!$M$18)^(-O10),"")</f>
        <v>0</v>
      </c>
      <c r="P13" s="2">
        <f>IF(P10&lt;&gt;"",P12*(1+UnosPodataka!$M$18)^(-P10),"")</f>
        <v>0</v>
      </c>
      <c r="Q13" s="2">
        <f>IF(Q10&lt;&gt;"",Q12*(1+UnosPodataka!$M$18)^(-Q10),"")</f>
        <v>0</v>
      </c>
      <c r="R13" s="2">
        <f>IF(R10&lt;&gt;"",R12*(1+UnosPodataka!$M$18)^(-R10),"")</f>
        <v>0</v>
      </c>
      <c r="S13" s="2">
        <f>IF(S10&lt;&gt;"",S12*(1+UnosPodataka!$M$18)^(-S10),"")</f>
        <v>0</v>
      </c>
      <c r="T13" s="2">
        <f>IF(T10&lt;&gt;"",T12*(1+UnosPodataka!$M$18)^(-T10),"")</f>
        <v>0</v>
      </c>
      <c r="U13" s="2">
        <f>IF(U10&lt;&gt;"",U12*(1+UnosPodataka!$M$18)^(-U10),"")</f>
        <v>0</v>
      </c>
      <c r="V13" s="2">
        <f>IF(V10&lt;&gt;"",V12*(1+UnosPodataka!$M$18)^(-V10),"")</f>
        <v>0</v>
      </c>
      <c r="W13" s="2">
        <f>IF(W10&lt;&gt;"",W12*(1+UnosPodataka!$M$18)^(-W10),"")</f>
        <v>0</v>
      </c>
      <c r="X13" s="2">
        <f>IF(X10&lt;&gt;"",X12*(1+UnosPodataka!$M$18)^(-X10),"")</f>
        <v>0</v>
      </c>
      <c r="Y13" s="2">
        <f>IF(Y10&lt;&gt;"",Y12*(1+UnosPodataka!$M$18)^(-Y10),"")</f>
        <v>0</v>
      </c>
    </row>
    <row r="15" spans="1:25" x14ac:dyDescent="0.25">
      <c r="A15" s="69" t="s">
        <v>28</v>
      </c>
      <c r="B15" s="69"/>
      <c r="C15" s="69"/>
      <c r="D15" s="69"/>
      <c r="E15" s="32">
        <f>NPV(UnosPodataka!$M$18,AkoESCO!E12:Y12)</f>
        <v>0</v>
      </c>
    </row>
    <row r="16" spans="1:25" x14ac:dyDescent="0.25">
      <c r="A16" s="69" t="s">
        <v>29</v>
      </c>
      <c r="B16" s="69"/>
      <c r="C16" s="69"/>
      <c r="D16" s="69"/>
      <c r="E16" s="5" t="s">
        <v>134</v>
      </c>
    </row>
  </sheetData>
  <mergeCells count="9">
    <mergeCell ref="A15:D15"/>
    <mergeCell ref="A16:D16"/>
    <mergeCell ref="A7:D8"/>
    <mergeCell ref="I7:J7"/>
    <mergeCell ref="N7:O7"/>
    <mergeCell ref="A10:D10"/>
    <mergeCell ref="A12:D12"/>
    <mergeCell ref="A13:D13"/>
    <mergeCell ref="F3:I3"/>
  </mergeCells>
  <hyperlinks>
    <hyperlink ref="I7:J7" location="SALCoEE!A10" display="NAZAD"/>
    <hyperlink ref="N7:O7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27" sqref="D27"/>
    </sheetView>
  </sheetViews>
  <sheetFormatPr defaultRowHeight="15" x14ac:dyDescent="0.25"/>
  <sheetData>
    <row r="3" spans="1:9" ht="16.5" x14ac:dyDescent="0.35">
      <c r="F3" s="60" t="s">
        <v>150</v>
      </c>
      <c r="G3" s="60"/>
      <c r="H3" s="60"/>
      <c r="I3" s="60"/>
    </row>
    <row r="7" spans="1:9" x14ac:dyDescent="0.25">
      <c r="A7" s="62" t="s">
        <v>136</v>
      </c>
      <c r="B7" s="62"/>
      <c r="C7" s="62"/>
      <c r="D7" s="62"/>
    </row>
    <row r="8" spans="1:9" x14ac:dyDescent="0.25">
      <c r="A8" s="62"/>
      <c r="B8" s="62"/>
      <c r="C8" s="62"/>
      <c r="D8" s="62"/>
    </row>
    <row r="9" spans="1:9" x14ac:dyDescent="0.25">
      <c r="A9" s="62"/>
      <c r="B9" s="62"/>
      <c r="C9" s="62"/>
      <c r="D9" s="62"/>
    </row>
    <row r="11" spans="1:9" x14ac:dyDescent="0.25">
      <c r="A11" s="64" t="s">
        <v>129</v>
      </c>
      <c r="B11" s="64"/>
      <c r="D11" s="81" t="s">
        <v>130</v>
      </c>
      <c r="E11" s="81"/>
    </row>
    <row r="12" spans="1:9" x14ac:dyDescent="0.25">
      <c r="A12" s="64"/>
      <c r="B12" s="64"/>
      <c r="D12" s="81"/>
      <c r="E12" s="81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Q19" sqref="Q18:Q19"/>
    </sheetView>
  </sheetViews>
  <sheetFormatPr defaultRowHeight="15" x14ac:dyDescent="0.25"/>
  <sheetData>
    <row r="3" spans="1:9" ht="16.5" x14ac:dyDescent="0.35">
      <c r="F3" s="60" t="s">
        <v>150</v>
      </c>
      <c r="G3" s="60"/>
      <c r="H3" s="60"/>
      <c r="I3" s="60"/>
    </row>
    <row r="7" spans="1:9" x14ac:dyDescent="0.25">
      <c r="A7" s="62" t="s">
        <v>138</v>
      </c>
      <c r="B7" s="62"/>
      <c r="C7" s="62"/>
      <c r="D7" s="62"/>
    </row>
    <row r="8" spans="1:9" x14ac:dyDescent="0.25">
      <c r="A8" s="62"/>
      <c r="B8" s="62"/>
      <c r="C8" s="62"/>
      <c r="D8" s="62"/>
    </row>
    <row r="9" spans="1:9" x14ac:dyDescent="0.25">
      <c r="B9" s="69" t="s">
        <v>139</v>
      </c>
      <c r="C9" s="69"/>
      <c r="D9" s="69"/>
      <c r="E9" s="74" t="str">
        <f>PROJEKAT</f>
        <v>Ugradnja rekuperatora toplote u dimovodni trakt</v>
      </c>
      <c r="F9" s="74"/>
      <c r="G9" s="74"/>
      <c r="H9" s="74"/>
      <c r="I9" s="74"/>
    </row>
    <row r="10" spans="1:9" x14ac:dyDescent="0.25">
      <c r="B10" s="69" t="s">
        <v>140</v>
      </c>
      <c r="C10" s="69"/>
      <c r="D10" s="69"/>
      <c r="E10" s="82">
        <f>Investment</f>
        <v>218000</v>
      </c>
      <c r="F10" s="82"/>
      <c r="G10" s="82"/>
      <c r="H10" s="82"/>
      <c r="I10" s="82"/>
    </row>
    <row r="11" spans="1:9" x14ac:dyDescent="0.25">
      <c r="B11" s="69" t="s">
        <v>141</v>
      </c>
      <c r="C11" s="69"/>
      <c r="D11" s="69"/>
      <c r="E11" s="82">
        <f>Investment-Equity-LOAN</f>
        <v>0</v>
      </c>
      <c r="F11" s="82"/>
      <c r="G11" s="82"/>
      <c r="H11" s="82"/>
      <c r="I11" s="82"/>
    </row>
    <row r="12" spans="1:9" x14ac:dyDescent="0.25">
      <c r="B12" s="69" t="s">
        <v>82</v>
      </c>
      <c r="C12" s="69"/>
      <c r="D12" s="69"/>
      <c r="E12" s="82">
        <f>Equity</f>
        <v>45000</v>
      </c>
      <c r="F12" s="82"/>
      <c r="G12" s="82"/>
      <c r="H12" s="82"/>
      <c r="I12" s="82"/>
    </row>
    <row r="13" spans="1:9" x14ac:dyDescent="0.25">
      <c r="B13" s="69" t="s">
        <v>81</v>
      </c>
      <c r="C13" s="69"/>
      <c r="D13" s="69"/>
      <c r="E13" s="82">
        <f>LOAN</f>
        <v>173000</v>
      </c>
      <c r="F13" s="82"/>
      <c r="G13" s="82"/>
      <c r="H13" s="82"/>
      <c r="I13" s="82"/>
    </row>
    <row r="14" spans="1:9" x14ac:dyDescent="0.25">
      <c r="B14" s="69" t="s">
        <v>142</v>
      </c>
      <c r="C14" s="69"/>
      <c r="D14" s="69"/>
      <c r="E14" s="82">
        <f>LCoE</f>
        <v>24.527699316902357</v>
      </c>
      <c r="F14" s="82"/>
      <c r="G14" s="82"/>
      <c r="H14" s="82"/>
      <c r="I14" s="82"/>
    </row>
    <row r="15" spans="1:9" x14ac:dyDescent="0.25">
      <c r="B15" s="69" t="s">
        <v>185</v>
      </c>
      <c r="C15" s="69"/>
      <c r="D15" s="69"/>
      <c r="E15" s="82">
        <f>+FinaIndicators!E43</f>
        <v>651405.89795003412</v>
      </c>
      <c r="F15" s="82"/>
      <c r="G15" s="82"/>
      <c r="H15" s="82"/>
      <c r="I15" s="82"/>
    </row>
    <row r="16" spans="1:9" x14ac:dyDescent="0.25">
      <c r="B16" s="69" t="s">
        <v>29</v>
      </c>
      <c r="C16" s="69"/>
      <c r="D16" s="69"/>
      <c r="E16" s="83">
        <f>+FinaIndicators!E44</f>
        <v>0.34859553344467153</v>
      </c>
      <c r="F16" s="83"/>
      <c r="G16" s="83"/>
      <c r="H16" s="83"/>
      <c r="I16" s="83"/>
    </row>
    <row r="17" spans="2:9" ht="18" x14ac:dyDescent="0.35">
      <c r="B17" s="69" t="s">
        <v>206</v>
      </c>
      <c r="C17" s="69"/>
      <c r="D17" s="69"/>
      <c r="E17" s="84">
        <f>+'FinInd+CO2'!E44</f>
        <v>651405.89795003412</v>
      </c>
      <c r="F17" s="74"/>
      <c r="G17" s="74"/>
      <c r="H17" s="74"/>
      <c r="I17" s="74"/>
    </row>
    <row r="18" spans="2:9" ht="18" x14ac:dyDescent="0.35">
      <c r="B18" s="69" t="s">
        <v>207</v>
      </c>
      <c r="C18" s="69"/>
      <c r="D18" s="69"/>
      <c r="E18" s="83">
        <f>+'FinInd+CO2'!E45</f>
        <v>0.34859553344467153</v>
      </c>
      <c r="F18" s="74"/>
      <c r="G18" s="74"/>
      <c r="H18" s="74"/>
      <c r="I18" s="74"/>
    </row>
    <row r="20" spans="2:9" x14ac:dyDescent="0.25">
      <c r="B20" s="64" t="s">
        <v>129</v>
      </c>
      <c r="C20" s="64"/>
    </row>
    <row r="21" spans="2:9" x14ac:dyDescent="0.25">
      <c r="B21" s="64"/>
      <c r="C21" s="64"/>
    </row>
  </sheetData>
  <mergeCells count="23">
    <mergeCell ref="E11:I11"/>
    <mergeCell ref="E12:I12"/>
    <mergeCell ref="A7:D8"/>
    <mergeCell ref="B9:D9"/>
    <mergeCell ref="E9:I9"/>
    <mergeCell ref="B10:D10"/>
    <mergeCell ref="B11:D11"/>
    <mergeCell ref="F3:I3"/>
    <mergeCell ref="B20:C21"/>
    <mergeCell ref="E13:I13"/>
    <mergeCell ref="E14:I14"/>
    <mergeCell ref="E15:I15"/>
    <mergeCell ref="E16:I16"/>
    <mergeCell ref="E17:I17"/>
    <mergeCell ref="E18:I18"/>
    <mergeCell ref="B13:D13"/>
    <mergeCell ref="B14:D14"/>
    <mergeCell ref="B15:D15"/>
    <mergeCell ref="B16:D16"/>
    <mergeCell ref="B17:D17"/>
    <mergeCell ref="B18:D18"/>
    <mergeCell ref="B12:D12"/>
    <mergeCell ref="E10:I10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I24" sqref="I24"/>
    </sheetView>
  </sheetViews>
  <sheetFormatPr defaultRowHeight="15" x14ac:dyDescent="0.25"/>
  <cols>
    <col min="2" max="2" width="21.85546875" customWidth="1"/>
  </cols>
  <sheetData>
    <row r="7" spans="2:3" ht="21" x14ac:dyDescent="0.35">
      <c r="B7" s="59" t="s">
        <v>196</v>
      </c>
      <c r="C7" s="51"/>
    </row>
    <row r="8" spans="2:3" ht="18" x14ac:dyDescent="0.35">
      <c r="B8" s="51"/>
      <c r="C8" s="52" t="s">
        <v>197</v>
      </c>
    </row>
    <row r="9" spans="2:3" x14ac:dyDescent="0.25">
      <c r="B9" s="51" t="s">
        <v>21</v>
      </c>
      <c r="C9" s="33">
        <v>0.4</v>
      </c>
    </row>
    <row r="10" spans="2:3" x14ac:dyDescent="0.25">
      <c r="B10" s="51" t="s">
        <v>20</v>
      </c>
      <c r="C10" s="33">
        <v>0.33</v>
      </c>
    </row>
    <row r="11" spans="2:3" x14ac:dyDescent="0.25">
      <c r="B11" s="51" t="s">
        <v>198</v>
      </c>
      <c r="C11" s="33">
        <v>0.34</v>
      </c>
    </row>
    <row r="12" spans="2:3" x14ac:dyDescent="0.25">
      <c r="B12" s="51" t="s">
        <v>199</v>
      </c>
      <c r="C12" s="33">
        <v>0.27</v>
      </c>
    </row>
    <row r="13" spans="2:3" x14ac:dyDescent="0.25">
      <c r="B13" s="51" t="s">
        <v>17</v>
      </c>
      <c r="C13" s="33">
        <v>0.28000000000000003</v>
      </c>
    </row>
    <row r="14" spans="2:3" x14ac:dyDescent="0.25">
      <c r="B14" s="51" t="s">
        <v>14</v>
      </c>
      <c r="C14" s="33">
        <v>0.2</v>
      </c>
    </row>
    <row r="15" spans="2:3" x14ac:dyDescent="0.25">
      <c r="B15" s="51" t="s">
        <v>200</v>
      </c>
      <c r="C15" s="33">
        <v>0.22</v>
      </c>
    </row>
    <row r="16" spans="2:3" x14ac:dyDescent="0.25">
      <c r="B16" s="51" t="s">
        <v>201</v>
      </c>
      <c r="C16" s="33">
        <v>0.49399999999999999</v>
      </c>
    </row>
    <row r="17" spans="2:3" x14ac:dyDescent="0.25">
      <c r="B17" s="51" t="s">
        <v>23</v>
      </c>
      <c r="C17" s="33">
        <v>4.9000000000000002E-2</v>
      </c>
    </row>
    <row r="18" spans="2:3" x14ac:dyDescent="0.25">
      <c r="B18" s="51" t="s">
        <v>202</v>
      </c>
      <c r="C18" s="33">
        <v>0.04</v>
      </c>
    </row>
    <row r="19" spans="2:3" x14ac:dyDescent="0.25">
      <c r="B19" s="51" t="s">
        <v>203</v>
      </c>
      <c r="C19" s="33">
        <v>0.28999999999999998</v>
      </c>
    </row>
    <row r="20" spans="2:3" x14ac:dyDescent="0.25">
      <c r="B20" s="51" t="s">
        <v>18</v>
      </c>
      <c r="C20" s="33">
        <v>0.8</v>
      </c>
    </row>
    <row r="21" spans="2:3" x14ac:dyDescent="0.25">
      <c r="B21" s="51" t="s">
        <v>204</v>
      </c>
      <c r="C21" s="33">
        <v>0</v>
      </c>
    </row>
    <row r="22" spans="2:3" x14ac:dyDescent="0.25">
      <c r="B22" s="51" t="s">
        <v>192</v>
      </c>
      <c r="C22" s="51"/>
    </row>
    <row r="23" spans="2:3" x14ac:dyDescent="0.25">
      <c r="B23" s="51" t="s">
        <v>205</v>
      </c>
      <c r="C23" s="33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zoomScaleNormal="100" workbookViewId="0">
      <selection activeCell="J22" sqref="J22"/>
    </sheetView>
  </sheetViews>
  <sheetFormatPr defaultRowHeight="15" x14ac:dyDescent="0.25"/>
  <cols>
    <col min="2" max="2" width="25.42578125" customWidth="1"/>
  </cols>
  <sheetData>
    <row r="1" spans="1:9" x14ac:dyDescent="0.25">
      <c r="A1" s="51"/>
      <c r="B1" s="51"/>
      <c r="C1" s="51"/>
      <c r="D1" s="51"/>
      <c r="E1" s="51"/>
      <c r="F1" s="51"/>
      <c r="G1" s="51"/>
      <c r="H1" s="51"/>
      <c r="I1" s="51"/>
    </row>
    <row r="2" spans="1:9" x14ac:dyDescent="0.25">
      <c r="A2" s="51"/>
      <c r="B2" s="51"/>
      <c r="C2" s="51"/>
      <c r="D2" s="51"/>
      <c r="E2" s="51"/>
      <c r="F2" s="51"/>
      <c r="G2" s="51"/>
      <c r="H2" s="51"/>
      <c r="I2" s="51"/>
    </row>
    <row r="3" spans="1:9" ht="16.5" x14ac:dyDescent="0.35">
      <c r="A3" s="51"/>
      <c r="B3" s="51"/>
      <c r="C3" s="51"/>
      <c r="D3" s="60" t="s">
        <v>150</v>
      </c>
      <c r="E3" s="60"/>
      <c r="F3" s="60"/>
      <c r="G3" s="60"/>
      <c r="H3" s="51"/>
      <c r="I3" s="51"/>
    </row>
    <row r="4" spans="1:9" x14ac:dyDescent="0.25">
      <c r="A4" s="51"/>
      <c r="B4" s="51"/>
      <c r="C4" s="51"/>
      <c r="D4" s="51"/>
      <c r="E4" s="51"/>
      <c r="F4" s="51"/>
      <c r="G4" s="51"/>
      <c r="H4" s="51"/>
      <c r="I4" s="51"/>
    </row>
    <row r="5" spans="1:9" x14ac:dyDescent="0.25">
      <c r="A5" s="51"/>
      <c r="B5" s="51"/>
      <c r="C5" s="51"/>
      <c r="D5" s="51"/>
      <c r="E5" s="51"/>
      <c r="F5" s="51"/>
      <c r="G5" s="51"/>
      <c r="H5" s="51"/>
      <c r="I5" s="51"/>
    </row>
    <row r="6" spans="1:9" x14ac:dyDescent="0.25">
      <c r="A6" s="51"/>
      <c r="B6" s="51"/>
      <c r="C6" s="51"/>
      <c r="D6" s="51"/>
      <c r="E6" s="51"/>
      <c r="F6" s="51"/>
      <c r="G6" s="51"/>
      <c r="H6" s="51"/>
      <c r="I6" s="51"/>
    </row>
    <row r="7" spans="1:9" ht="21" x14ac:dyDescent="0.35">
      <c r="A7" s="51"/>
      <c r="B7" s="67" t="s">
        <v>186</v>
      </c>
      <c r="C7" s="67"/>
      <c r="D7" s="67"/>
      <c r="E7" s="67"/>
      <c r="F7" s="67"/>
      <c r="G7" s="67"/>
      <c r="H7" s="51"/>
      <c r="I7" s="51"/>
    </row>
    <row r="8" spans="1:9" x14ac:dyDescent="0.25">
      <c r="A8" s="51"/>
      <c r="B8" s="52"/>
      <c r="C8" s="52"/>
      <c r="D8" s="52"/>
      <c r="E8" s="52"/>
      <c r="F8" s="52"/>
      <c r="G8" s="52"/>
      <c r="H8" s="51"/>
      <c r="I8" s="51"/>
    </row>
    <row r="9" spans="1:9" x14ac:dyDescent="0.25">
      <c r="A9" s="51"/>
      <c r="B9" s="68" t="s">
        <v>187</v>
      </c>
      <c r="C9" s="68" t="s">
        <v>188</v>
      </c>
      <c r="D9" s="68" t="s">
        <v>123</v>
      </c>
      <c r="E9" s="68" t="s">
        <v>189</v>
      </c>
      <c r="F9" s="51"/>
      <c r="G9" s="51"/>
      <c r="H9" s="51"/>
      <c r="I9" s="51"/>
    </row>
    <row r="10" spans="1:9" x14ac:dyDescent="0.25">
      <c r="A10" s="51"/>
      <c r="B10" s="68"/>
      <c r="C10" s="68"/>
      <c r="D10" s="68"/>
      <c r="E10" s="68"/>
      <c r="F10" s="51"/>
      <c r="G10" s="51"/>
      <c r="H10" s="51"/>
      <c r="I10" s="51"/>
    </row>
    <row r="11" spans="1:9" ht="18" x14ac:dyDescent="0.35">
      <c r="A11" s="51"/>
      <c r="B11" s="17"/>
      <c r="C11" s="53" t="s">
        <v>25</v>
      </c>
      <c r="D11" s="53" t="s">
        <v>190</v>
      </c>
      <c r="E11" s="53" t="s">
        <v>191</v>
      </c>
      <c r="F11" s="51"/>
      <c r="G11" s="51"/>
      <c r="H11" s="51"/>
      <c r="I11" s="51"/>
    </row>
    <row r="12" spans="1:9" x14ac:dyDescent="0.25">
      <c r="A12" s="51"/>
      <c r="B12" s="54" t="s">
        <v>23</v>
      </c>
      <c r="C12" s="55">
        <v>2000</v>
      </c>
      <c r="D12" s="56">
        <f>VLOOKUP(B12,Gorivo!$B$9:$C$23,2,FALSE)</f>
        <v>4.9000000000000002E-2</v>
      </c>
      <c r="E12" s="57">
        <f>IF(B12&lt;&gt;"Gorivo",C12*D12,"")</f>
        <v>98</v>
      </c>
      <c r="F12" s="51"/>
      <c r="G12" s="51"/>
      <c r="H12" s="51"/>
      <c r="I12" s="51"/>
    </row>
    <row r="13" spans="1:9" x14ac:dyDescent="0.25">
      <c r="A13" s="51"/>
      <c r="B13" s="54" t="s">
        <v>20</v>
      </c>
      <c r="C13" s="55">
        <v>6000</v>
      </c>
      <c r="D13" s="56">
        <f>VLOOKUP(B13,Gorivo!$B$9:$C$23,2,FALSE)</f>
        <v>0.33</v>
      </c>
      <c r="E13" s="57">
        <f t="shared" ref="E13:E17" si="0">IF(B13&lt;&gt;"Gorivo",C13*D13,"")</f>
        <v>1980</v>
      </c>
      <c r="F13" s="51"/>
      <c r="G13" s="51"/>
      <c r="H13" s="51"/>
      <c r="I13" s="51"/>
    </row>
    <row r="14" spans="1:9" x14ac:dyDescent="0.25">
      <c r="A14" s="51"/>
      <c r="B14" s="54" t="s">
        <v>192</v>
      </c>
      <c r="C14" s="55"/>
      <c r="D14" s="56">
        <f>VLOOKUP(B14,Gorivo!$B$9:$C$23,2,FALSE)</f>
        <v>0</v>
      </c>
      <c r="E14" s="57" t="str">
        <f t="shared" si="0"/>
        <v/>
      </c>
      <c r="F14" s="51"/>
      <c r="G14" s="51"/>
      <c r="H14" s="51"/>
      <c r="I14" s="51"/>
    </row>
    <row r="15" spans="1:9" x14ac:dyDescent="0.25">
      <c r="A15" s="51"/>
      <c r="B15" s="54" t="s">
        <v>192</v>
      </c>
      <c r="C15" s="55"/>
      <c r="D15" s="56">
        <f>VLOOKUP(B15,Gorivo!$B$9:$C$23,2,FALSE)</f>
        <v>0</v>
      </c>
      <c r="E15" s="57" t="str">
        <f t="shared" si="0"/>
        <v/>
      </c>
      <c r="F15" s="51"/>
      <c r="G15" s="51"/>
      <c r="H15" s="51"/>
      <c r="I15" s="51"/>
    </row>
    <row r="16" spans="1:9" x14ac:dyDescent="0.25">
      <c r="A16" s="51"/>
      <c r="B16" s="54" t="s">
        <v>192</v>
      </c>
      <c r="C16" s="55"/>
      <c r="D16" s="56">
        <f>VLOOKUP(B16,Gorivo!$B$9:$C$23,2,FALSE)</f>
        <v>0</v>
      </c>
      <c r="E16" s="57" t="str">
        <f t="shared" si="0"/>
        <v/>
      </c>
      <c r="F16" s="51"/>
      <c r="G16" s="51"/>
      <c r="H16" s="51"/>
      <c r="I16" s="51"/>
    </row>
    <row r="17" spans="1:9" x14ac:dyDescent="0.25">
      <c r="A17" s="51"/>
      <c r="B17" s="54" t="s">
        <v>192</v>
      </c>
      <c r="C17" s="55"/>
      <c r="D17" s="56">
        <f>VLOOKUP(B17,Gorivo!$B$9:$C$23,2,FALSE)</f>
        <v>0</v>
      </c>
      <c r="E17" s="57" t="str">
        <f t="shared" si="0"/>
        <v/>
      </c>
      <c r="F17" s="51"/>
      <c r="G17" s="51"/>
      <c r="H17" s="51"/>
      <c r="I17" s="51"/>
    </row>
    <row r="18" spans="1:9" x14ac:dyDescent="0.25">
      <c r="A18" s="51"/>
      <c r="B18" s="17" t="s">
        <v>193</v>
      </c>
      <c r="C18" s="57">
        <f>SUM(C12:C17)</f>
        <v>8000</v>
      </c>
      <c r="D18" s="56"/>
      <c r="E18" s="57">
        <f>SUM(E12:E17)</f>
        <v>2078</v>
      </c>
      <c r="F18" s="51"/>
      <c r="G18" s="51"/>
      <c r="H18" s="51"/>
      <c r="I18" s="51"/>
    </row>
    <row r="19" spans="1:9" x14ac:dyDescent="0.25">
      <c r="A19" s="51"/>
      <c r="B19" s="51"/>
      <c r="C19" s="51"/>
      <c r="D19" s="51"/>
      <c r="E19" s="51"/>
      <c r="F19" s="51"/>
      <c r="G19" s="51"/>
      <c r="H19" s="51"/>
      <c r="I19" s="51"/>
    </row>
    <row r="20" spans="1:9" ht="18" x14ac:dyDescent="0.35">
      <c r="A20" s="51"/>
      <c r="B20" s="66" t="s">
        <v>194</v>
      </c>
      <c r="C20" s="66"/>
      <c r="D20" s="66"/>
      <c r="E20" s="53" t="s">
        <v>195</v>
      </c>
      <c r="F20" s="51"/>
      <c r="G20" s="51"/>
      <c r="H20" s="51"/>
      <c r="I20" s="51"/>
    </row>
    <row r="21" spans="1:9" x14ac:dyDescent="0.25">
      <c r="A21" s="51"/>
      <c r="B21" s="66"/>
      <c r="C21" s="66"/>
      <c r="D21" s="66"/>
      <c r="E21" s="58">
        <f>E18/C18</f>
        <v>0.25974999999999998</v>
      </c>
      <c r="F21" s="51"/>
      <c r="G21" s="51"/>
      <c r="H21" s="51"/>
      <c r="I21" s="51"/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P40"/>
  <sheetViews>
    <sheetView topLeftCell="A7" workbookViewId="0">
      <selection activeCell="H35" sqref="H35"/>
    </sheetView>
  </sheetViews>
  <sheetFormatPr defaultRowHeight="15" x14ac:dyDescent="0.25"/>
  <cols>
    <col min="2" max="2" width="36.42578125" customWidth="1"/>
    <col min="7" max="7" width="10.28515625" customWidth="1"/>
    <col min="11" max="11" width="11.140625" customWidth="1"/>
    <col min="13" max="13" width="10.140625" customWidth="1"/>
  </cols>
  <sheetData>
    <row r="3" spans="1:14" ht="16.5" x14ac:dyDescent="0.35">
      <c r="C3" s="60" t="s">
        <v>150</v>
      </c>
      <c r="D3" s="60"/>
      <c r="E3" s="60"/>
      <c r="F3" s="60"/>
    </row>
    <row r="7" spans="1:14" ht="15" customHeight="1" x14ac:dyDescent="0.25">
      <c r="A7" s="14" t="s">
        <v>32</v>
      </c>
      <c r="B7" t="s">
        <v>33</v>
      </c>
      <c r="E7">
        <v>1</v>
      </c>
      <c r="G7" s="17" t="s">
        <v>11</v>
      </c>
      <c r="H7" t="s">
        <v>50</v>
      </c>
      <c r="M7" s="17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52</v>
      </c>
      <c r="N9" t="s">
        <v>6</v>
      </c>
    </row>
    <row r="10" spans="1:14" x14ac:dyDescent="0.25">
      <c r="B10" t="s">
        <v>36</v>
      </c>
      <c r="E10">
        <v>4</v>
      </c>
      <c r="H10" t="s">
        <v>53</v>
      </c>
      <c r="N10" t="s">
        <v>7</v>
      </c>
    </row>
    <row r="11" spans="1:14" x14ac:dyDescent="0.25">
      <c r="B11" t="s">
        <v>37</v>
      </c>
      <c r="E11">
        <v>5</v>
      </c>
      <c r="H11" t="s">
        <v>115</v>
      </c>
      <c r="N11" t="s">
        <v>8</v>
      </c>
    </row>
    <row r="12" spans="1:14" x14ac:dyDescent="0.25">
      <c r="B12" t="s">
        <v>38</v>
      </c>
      <c r="E12">
        <v>6</v>
      </c>
      <c r="H12" t="s">
        <v>112</v>
      </c>
      <c r="N12" t="s">
        <v>9</v>
      </c>
    </row>
    <row r="13" spans="1:14" x14ac:dyDescent="0.25">
      <c r="B13" t="s">
        <v>39</v>
      </c>
      <c r="E13">
        <v>7</v>
      </c>
      <c r="H13" t="s">
        <v>113</v>
      </c>
    </row>
    <row r="14" spans="1:14" x14ac:dyDescent="0.25">
      <c r="B14" t="s">
        <v>40</v>
      </c>
      <c r="E14">
        <v>8</v>
      </c>
      <c r="H14" t="s">
        <v>114</v>
      </c>
    </row>
    <row r="15" spans="1:14" x14ac:dyDescent="0.25">
      <c r="B15" t="s">
        <v>41</v>
      </c>
      <c r="E15">
        <v>9</v>
      </c>
      <c r="G15" s="10"/>
      <c r="H15" t="s">
        <v>54</v>
      </c>
      <c r="M15" s="17" t="s">
        <v>10</v>
      </c>
      <c r="N15" t="s">
        <v>56</v>
      </c>
    </row>
    <row r="16" spans="1:14" x14ac:dyDescent="0.25">
      <c r="B16" t="s">
        <v>42</v>
      </c>
      <c r="E16">
        <v>10</v>
      </c>
      <c r="G16" s="10"/>
      <c r="H16" t="s">
        <v>55</v>
      </c>
      <c r="N16" t="s">
        <v>57</v>
      </c>
    </row>
    <row r="17" spans="2:16" x14ac:dyDescent="0.25">
      <c r="B17" t="s">
        <v>43</v>
      </c>
      <c r="E17">
        <v>11</v>
      </c>
      <c r="N17" t="s">
        <v>58</v>
      </c>
    </row>
    <row r="18" spans="2:16" x14ac:dyDescent="0.25">
      <c r="B18" t="s">
        <v>44</v>
      </c>
      <c r="E18">
        <v>12</v>
      </c>
      <c r="N18" t="s">
        <v>59</v>
      </c>
    </row>
    <row r="19" spans="2:16" ht="18" x14ac:dyDescent="0.35">
      <c r="B19" t="s">
        <v>45</v>
      </c>
      <c r="E19">
        <v>13</v>
      </c>
      <c r="N19" t="s">
        <v>60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H21" s="69" t="s">
        <v>145</v>
      </c>
      <c r="I21" s="69"/>
      <c r="J21" s="69"/>
      <c r="M21" s="17" t="s">
        <v>12</v>
      </c>
      <c r="N21" t="s">
        <v>61</v>
      </c>
    </row>
    <row r="22" spans="2:16" x14ac:dyDescent="0.25">
      <c r="B22" t="s">
        <v>48</v>
      </c>
      <c r="E22">
        <v>16</v>
      </c>
      <c r="I22" t="s">
        <v>146</v>
      </c>
      <c r="K22" s="2">
        <v>0</v>
      </c>
      <c r="L22" s="16">
        <v>0</v>
      </c>
      <c r="N22" t="s">
        <v>62</v>
      </c>
    </row>
    <row r="23" spans="2:16" x14ac:dyDescent="0.25">
      <c r="B23" t="s">
        <v>49</v>
      </c>
      <c r="E23">
        <v>17</v>
      </c>
      <c r="I23" t="s">
        <v>147</v>
      </c>
      <c r="K23" s="2">
        <f>+Equity</f>
        <v>45000</v>
      </c>
      <c r="L23" s="16">
        <v>0.12</v>
      </c>
      <c r="N23" t="s">
        <v>63</v>
      </c>
    </row>
    <row r="24" spans="2:16" x14ac:dyDescent="0.25">
      <c r="B24" t="s">
        <v>111</v>
      </c>
      <c r="I24" t="s">
        <v>148</v>
      </c>
      <c r="K24" s="2">
        <f>+LOAN</f>
        <v>173000</v>
      </c>
      <c r="L24" s="6">
        <v>5.8299999999999998E-2</v>
      </c>
      <c r="N24" t="s">
        <v>64</v>
      </c>
    </row>
    <row r="25" spans="2:16" x14ac:dyDescent="0.25">
      <c r="B25" s="13">
        <f>VLOOKUP(Pocetna!M12,B7:E23,4,FALSE)</f>
        <v>9</v>
      </c>
      <c r="J25" t="s">
        <v>149</v>
      </c>
      <c r="K25" s="2">
        <f>SUM(K22:K24)</f>
        <v>218000</v>
      </c>
      <c r="L25" s="6">
        <f>+(K22*L22+K23*L23+K24*L24)/K25</f>
        <v>7.1036238532110094E-2</v>
      </c>
      <c r="N25" t="s">
        <v>65</v>
      </c>
    </row>
    <row r="26" spans="2:16" x14ac:dyDescent="0.25">
      <c r="B26" s="9"/>
      <c r="N26" t="s">
        <v>144</v>
      </c>
    </row>
    <row r="27" spans="2:16" x14ac:dyDescent="0.25">
      <c r="N27" t="s">
        <v>66</v>
      </c>
    </row>
    <row r="28" spans="2:16" x14ac:dyDescent="0.25">
      <c r="B28" s="22"/>
    </row>
    <row r="29" spans="2:16" x14ac:dyDescent="0.25">
      <c r="B29" s="23"/>
      <c r="M29" s="17" t="s">
        <v>13</v>
      </c>
      <c r="N29" t="s">
        <v>14</v>
      </c>
      <c r="P29" s="2">
        <v>0.2</v>
      </c>
    </row>
    <row r="30" spans="2:16" x14ac:dyDescent="0.25">
      <c r="N30" t="s">
        <v>15</v>
      </c>
      <c r="P30" s="2">
        <v>0.22</v>
      </c>
    </row>
    <row r="31" spans="2:16" x14ac:dyDescent="0.25">
      <c r="N31" t="s">
        <v>16</v>
      </c>
      <c r="P31" s="2">
        <v>0.27</v>
      </c>
    </row>
    <row r="32" spans="2:16" x14ac:dyDescent="0.25">
      <c r="N32" t="s">
        <v>17</v>
      </c>
      <c r="P32" s="2">
        <v>0.28000000000000003</v>
      </c>
    </row>
    <row r="33" spans="14:16" x14ac:dyDescent="0.25">
      <c r="N33" t="s">
        <v>18</v>
      </c>
      <c r="P33" s="2">
        <v>0.8</v>
      </c>
    </row>
    <row r="34" spans="14:16" x14ac:dyDescent="0.25">
      <c r="N34" t="s">
        <v>19</v>
      </c>
      <c r="P34" s="2">
        <v>0.33</v>
      </c>
    </row>
    <row r="35" spans="14:16" x14ac:dyDescent="0.25">
      <c r="N35" t="s">
        <v>23</v>
      </c>
      <c r="P35" s="2">
        <v>4.9000000000000002E-2</v>
      </c>
    </row>
    <row r="36" spans="14:16" x14ac:dyDescent="0.25">
      <c r="N36" t="s">
        <v>20</v>
      </c>
      <c r="P36" s="2">
        <v>0.4</v>
      </c>
    </row>
    <row r="37" spans="14:16" x14ac:dyDescent="0.25">
      <c r="N37" t="s">
        <v>21</v>
      </c>
      <c r="P37" s="2">
        <v>0.33</v>
      </c>
    </row>
    <row r="38" spans="14:16" x14ac:dyDescent="0.25">
      <c r="N38" t="s">
        <v>22</v>
      </c>
      <c r="P38" s="2">
        <v>0</v>
      </c>
    </row>
    <row r="39" spans="14:16" x14ac:dyDescent="0.25">
      <c r="N39" t="s">
        <v>143</v>
      </c>
      <c r="P39" s="33">
        <f>SUM(KonvFaktor!E21)</f>
        <v>0.25974999999999998</v>
      </c>
    </row>
    <row r="40" spans="14:16" x14ac:dyDescent="0.25">
      <c r="N40" t="s">
        <v>151</v>
      </c>
      <c r="P40" s="2">
        <v>0.22</v>
      </c>
    </row>
  </sheetData>
  <sheetProtection selectLockedCells="1"/>
  <mergeCells count="2"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P31"/>
  <sheetViews>
    <sheetView workbookViewId="0">
      <selection activeCell="P24" sqref="P24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2" spans="2:16" ht="16.5" x14ac:dyDescent="0.35">
      <c r="G2" s="60" t="s">
        <v>150</v>
      </c>
      <c r="H2" s="60"/>
      <c r="I2" s="60"/>
      <c r="J2" s="60"/>
    </row>
    <row r="7" spans="2:16" x14ac:dyDescent="0.25">
      <c r="B7" s="73" t="s">
        <v>71</v>
      </c>
      <c r="C7" s="73"/>
      <c r="D7" s="73"/>
      <c r="E7" s="73"/>
      <c r="F7" s="1" t="s">
        <v>1</v>
      </c>
      <c r="I7" s="71" t="s">
        <v>71</v>
      </c>
      <c r="J7" s="71"/>
      <c r="K7" s="71"/>
      <c r="L7" s="71"/>
      <c r="M7" s="1" t="s">
        <v>24</v>
      </c>
      <c r="O7" s="65" t="s">
        <v>130</v>
      </c>
      <c r="P7" s="65"/>
    </row>
    <row r="8" spans="2:16" x14ac:dyDescent="0.25">
      <c r="O8" s="65"/>
      <c r="P8" s="65"/>
    </row>
    <row r="9" spans="2:16" x14ac:dyDescent="0.25">
      <c r="B9" s="72" t="s">
        <v>50</v>
      </c>
      <c r="C9" s="72"/>
      <c r="D9" s="72"/>
      <c r="E9" s="72"/>
      <c r="F9" s="7">
        <v>3000</v>
      </c>
      <c r="I9" s="70" t="s">
        <v>56</v>
      </c>
      <c r="J9" s="70"/>
      <c r="K9" s="70"/>
      <c r="L9" s="70"/>
      <c r="M9" s="2">
        <v>100</v>
      </c>
    </row>
    <row r="10" spans="2:16" x14ac:dyDescent="0.25">
      <c r="B10" s="72" t="s">
        <v>51</v>
      </c>
      <c r="C10" s="72"/>
      <c r="D10" s="72"/>
      <c r="E10" s="72"/>
      <c r="F10" s="7">
        <v>1500</v>
      </c>
      <c r="I10" s="70" t="s">
        <v>57</v>
      </c>
      <c r="J10" s="70"/>
      <c r="K10" s="70"/>
      <c r="L10" s="70"/>
      <c r="M10" s="6">
        <v>1</v>
      </c>
      <c r="O10" s="64" t="s">
        <v>129</v>
      </c>
      <c r="P10" s="64"/>
    </row>
    <row r="11" spans="2:16" x14ac:dyDescent="0.25">
      <c r="B11" s="72" t="s">
        <v>52</v>
      </c>
      <c r="C11" s="72"/>
      <c r="D11" s="72"/>
      <c r="E11" s="72"/>
      <c r="F11" s="7">
        <v>180000</v>
      </c>
      <c r="I11" s="70" t="s">
        <v>58</v>
      </c>
      <c r="J11" s="70"/>
      <c r="K11" s="70"/>
      <c r="L11" s="70"/>
      <c r="M11" s="18">
        <v>0.03</v>
      </c>
      <c r="O11" s="64"/>
      <c r="P11" s="64"/>
    </row>
    <row r="12" spans="2:16" x14ac:dyDescent="0.25">
      <c r="B12" s="72" t="s">
        <v>53</v>
      </c>
      <c r="C12" s="72"/>
      <c r="D12" s="72"/>
      <c r="E12" s="72"/>
      <c r="F12" s="7">
        <v>10000</v>
      </c>
      <c r="I12" s="70" t="s">
        <v>59</v>
      </c>
      <c r="J12" s="70"/>
      <c r="K12" s="70"/>
      <c r="L12" s="70"/>
      <c r="M12" s="18">
        <v>0.1</v>
      </c>
    </row>
    <row r="13" spans="2:16" x14ac:dyDescent="0.25">
      <c r="B13" s="72" t="s">
        <v>115</v>
      </c>
      <c r="C13" s="72"/>
      <c r="D13" s="72"/>
      <c r="E13" s="72"/>
      <c r="F13" s="7">
        <v>10000</v>
      </c>
      <c r="I13" s="70" t="s">
        <v>74</v>
      </c>
      <c r="J13" s="70"/>
      <c r="K13" s="70"/>
      <c r="L13" s="70"/>
      <c r="M13" s="19">
        <v>97.44</v>
      </c>
    </row>
    <row r="14" spans="2:16" x14ac:dyDescent="0.25">
      <c r="B14" s="72" t="s">
        <v>112</v>
      </c>
      <c r="C14" s="72"/>
      <c r="D14" s="72"/>
      <c r="E14" s="72"/>
      <c r="F14" s="7">
        <v>2000</v>
      </c>
      <c r="I14" s="21"/>
      <c r="J14" s="21"/>
      <c r="K14" s="21"/>
      <c r="L14" s="21"/>
      <c r="M14" s="19"/>
    </row>
    <row r="15" spans="2:16" x14ac:dyDescent="0.25">
      <c r="B15" s="72" t="s">
        <v>113</v>
      </c>
      <c r="C15" s="72"/>
      <c r="D15" s="72"/>
      <c r="E15" s="72"/>
      <c r="F15" s="7">
        <v>2500</v>
      </c>
      <c r="I15" s="21"/>
      <c r="J15" s="21"/>
      <c r="K15" s="21"/>
      <c r="L15" s="21"/>
      <c r="M15" s="19"/>
    </row>
    <row r="16" spans="2:16" x14ac:dyDescent="0.25">
      <c r="B16" s="72" t="s">
        <v>114</v>
      </c>
      <c r="C16" s="72"/>
      <c r="D16" s="72"/>
      <c r="E16" s="72"/>
      <c r="F16" s="7">
        <v>2000</v>
      </c>
      <c r="I16" s="21"/>
      <c r="J16" s="21"/>
      <c r="K16" s="21"/>
      <c r="L16" s="21"/>
      <c r="M16" s="19"/>
    </row>
    <row r="17" spans="2:13" x14ac:dyDescent="0.25">
      <c r="B17" s="72" t="s">
        <v>54</v>
      </c>
      <c r="C17" s="72"/>
      <c r="D17" s="72"/>
      <c r="E17" s="72"/>
      <c r="F17" s="7">
        <v>2000</v>
      </c>
      <c r="I17" s="74"/>
      <c r="J17" s="74"/>
      <c r="K17" s="74"/>
      <c r="L17" s="74"/>
      <c r="M17" s="6"/>
    </row>
    <row r="18" spans="2:13" x14ac:dyDescent="0.25">
      <c r="B18" s="72" t="s">
        <v>55</v>
      </c>
      <c r="C18" s="72"/>
      <c r="D18" s="72"/>
      <c r="E18" s="72"/>
      <c r="F18" s="7">
        <v>5000</v>
      </c>
      <c r="I18" s="70" t="s">
        <v>64</v>
      </c>
      <c r="J18" s="70"/>
      <c r="K18" s="70"/>
      <c r="L18" s="70"/>
      <c r="M18" s="18">
        <v>0.06</v>
      </c>
    </row>
    <row r="19" spans="2:13" x14ac:dyDescent="0.25">
      <c r="E19" s="3" t="s">
        <v>72</v>
      </c>
      <c r="F19" s="2">
        <f>SUM(F9:F18)</f>
        <v>218000</v>
      </c>
      <c r="I19" s="70" t="s">
        <v>65</v>
      </c>
      <c r="J19" s="70"/>
      <c r="K19" s="70"/>
      <c r="L19" s="70"/>
      <c r="M19" s="18">
        <v>0.12</v>
      </c>
    </row>
    <row r="20" spans="2:13" x14ac:dyDescent="0.25">
      <c r="I20" s="70" t="s">
        <v>144</v>
      </c>
      <c r="J20" s="70"/>
      <c r="K20" s="70"/>
      <c r="L20" s="70"/>
      <c r="M20" s="18">
        <v>5.8299999999999998E-2</v>
      </c>
    </row>
    <row r="21" spans="2:13" x14ac:dyDescent="0.25">
      <c r="B21" s="70" t="s">
        <v>5</v>
      </c>
      <c r="C21" s="70"/>
      <c r="D21" s="70"/>
      <c r="E21" s="70"/>
      <c r="F21" s="7">
        <v>0</v>
      </c>
      <c r="I21" s="70" t="s">
        <v>62</v>
      </c>
      <c r="J21" s="70"/>
      <c r="K21" s="70"/>
      <c r="L21" s="70"/>
      <c r="M21" s="20">
        <v>8</v>
      </c>
    </row>
    <row r="22" spans="2:13" x14ac:dyDescent="0.25">
      <c r="B22" s="70"/>
      <c r="C22" s="70"/>
      <c r="D22" s="70"/>
      <c r="E22" s="70"/>
      <c r="F22" s="7"/>
      <c r="I22" s="70" t="s">
        <v>66</v>
      </c>
      <c r="J22" s="70"/>
      <c r="K22" s="70"/>
      <c r="L22" s="70"/>
      <c r="M22" s="28" t="s">
        <v>23</v>
      </c>
    </row>
    <row r="23" spans="2:13" x14ac:dyDescent="0.25">
      <c r="B23" s="70"/>
      <c r="C23" s="70"/>
      <c r="D23" s="70"/>
      <c r="E23" s="70"/>
      <c r="F23" s="2"/>
      <c r="I23" s="70" t="s">
        <v>75</v>
      </c>
      <c r="J23" s="70"/>
      <c r="K23" s="70"/>
      <c r="L23" s="70"/>
      <c r="M23" s="2">
        <f>VLOOKUP(M22,PomTab1!N29:P39,3,FALSE)</f>
        <v>4.9000000000000002E-2</v>
      </c>
    </row>
    <row r="24" spans="2:13" x14ac:dyDescent="0.25">
      <c r="B24" s="70"/>
      <c r="C24" s="70"/>
      <c r="D24" s="70"/>
      <c r="E24" s="70"/>
      <c r="I24" s="70" t="s">
        <v>63</v>
      </c>
      <c r="J24" s="70"/>
      <c r="K24" s="70"/>
      <c r="L24" s="70"/>
      <c r="M24" s="8">
        <v>20</v>
      </c>
    </row>
    <row r="25" spans="2:13" x14ac:dyDescent="0.25">
      <c r="B25" s="70"/>
      <c r="C25" s="70"/>
      <c r="D25" s="70"/>
      <c r="E25" s="70"/>
    </row>
    <row r="26" spans="2:13" x14ac:dyDescent="0.25">
      <c r="B26" s="70" t="s">
        <v>9</v>
      </c>
      <c r="C26" s="70"/>
      <c r="D26" s="70"/>
      <c r="E26" s="70"/>
      <c r="F26" s="7">
        <v>45000</v>
      </c>
      <c r="M26" s="11"/>
    </row>
    <row r="27" spans="2:13" x14ac:dyDescent="0.25">
      <c r="E27" s="4" t="s">
        <v>72</v>
      </c>
      <c r="F27" s="2">
        <f>IF(SUM(F21:F26)&gt;F19,FALSE,SUM(F21:F26))</f>
        <v>45000</v>
      </c>
      <c r="M27" s="2"/>
    </row>
    <row r="28" spans="2:13" x14ac:dyDescent="0.25">
      <c r="F28" s="2"/>
      <c r="M28" s="11"/>
    </row>
    <row r="29" spans="2:13" x14ac:dyDescent="0.25">
      <c r="E29" s="3" t="s">
        <v>73</v>
      </c>
      <c r="F29" s="2">
        <f>F19-F27</f>
        <v>173000</v>
      </c>
    </row>
    <row r="31" spans="2:13" x14ac:dyDescent="0.25">
      <c r="H31" s="49"/>
    </row>
  </sheetData>
  <sheetProtection selectLockedCells="1"/>
  <mergeCells count="34">
    <mergeCell ref="I9:L9"/>
    <mergeCell ref="I22:L22"/>
    <mergeCell ref="I23:L23"/>
    <mergeCell ref="B14:E14"/>
    <mergeCell ref="B16:E16"/>
    <mergeCell ref="B15:E15"/>
    <mergeCell ref="B10:E10"/>
    <mergeCell ref="B11:E11"/>
    <mergeCell ref="I24:L24"/>
    <mergeCell ref="I10:L10"/>
    <mergeCell ref="I11:L11"/>
    <mergeCell ref="I12:L12"/>
    <mergeCell ref="I13:L13"/>
    <mergeCell ref="I18:L18"/>
    <mergeCell ref="I17:L17"/>
    <mergeCell ref="I19:L19"/>
    <mergeCell ref="I21:L21"/>
    <mergeCell ref="I20:L20"/>
    <mergeCell ref="G2:J2"/>
    <mergeCell ref="O7:P8"/>
    <mergeCell ref="O10:P11"/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za suve rekuperatore 5% a za rekuperatore u kondenzacionom režimu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type="whole" allowBlank="1" showInputMessage="1" showErrorMessage="1" errorTitle="Restriction" error="Iznos ne može biti veći od 110 EUR/t CO2" promptTitle="CO2TAX" prompt="Preporučuje se iznos 55 EUR/t CO2." sqref="M14:M16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>
      <formula1>0</formula1>
      <formula2>0.1</formula2>
    </dataValidation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>
      <formula1>1</formula1>
      <formula2>12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0"/>
  </dataValidations>
  <hyperlinks>
    <hyperlink ref="O10:P11" location="Pocetna!M9" display="NAZAD"/>
    <hyperlink ref="O7:P8" location="Ustede!A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I22:L23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3:M19"/>
  <sheetViews>
    <sheetView workbookViewId="0">
      <selection activeCell="F17" sqref="F17"/>
    </sheetView>
  </sheetViews>
  <sheetFormatPr defaultRowHeight="15" x14ac:dyDescent="0.25"/>
  <cols>
    <col min="6" max="6" width="12.42578125" customWidth="1"/>
    <col min="7" max="7" width="13.5703125" customWidth="1"/>
    <col min="8" max="8" width="9.140625" customWidth="1"/>
  </cols>
  <sheetData>
    <row r="3" spans="1:13" ht="16.5" x14ac:dyDescent="0.35">
      <c r="F3" s="60" t="s">
        <v>150</v>
      </c>
      <c r="G3" s="60"/>
      <c r="H3" s="60"/>
    </row>
    <row r="7" spans="1:13" ht="21" x14ac:dyDescent="0.35">
      <c r="A7" s="67" t="s">
        <v>67</v>
      </c>
      <c r="B7" s="67"/>
      <c r="C7" s="67"/>
      <c r="D7" s="67"/>
      <c r="E7" s="67"/>
      <c r="F7" s="67"/>
    </row>
    <row r="9" spans="1:13" x14ac:dyDescent="0.25">
      <c r="A9" t="s">
        <v>68</v>
      </c>
      <c r="F9" s="26">
        <v>7000</v>
      </c>
      <c r="G9" s="5" t="s">
        <v>128</v>
      </c>
      <c r="I9" s="64" t="s">
        <v>129</v>
      </c>
      <c r="J9" s="64"/>
      <c r="L9" s="65" t="s">
        <v>130</v>
      </c>
      <c r="M9" s="65"/>
    </row>
    <row r="10" spans="1:13" x14ac:dyDescent="0.25">
      <c r="A10" t="s">
        <v>126</v>
      </c>
      <c r="F10" s="26">
        <v>12080</v>
      </c>
      <c r="G10" s="5" t="s">
        <v>127</v>
      </c>
      <c r="I10" s="64"/>
      <c r="J10" s="64"/>
      <c r="L10" s="65"/>
      <c r="M10" s="65"/>
    </row>
    <row r="11" spans="1:13" ht="15" customHeight="1" x14ac:dyDescent="0.25">
      <c r="A11" t="s">
        <v>116</v>
      </c>
      <c r="F11" s="26">
        <v>14</v>
      </c>
      <c r="G11" s="5" t="s">
        <v>117</v>
      </c>
    </row>
    <row r="12" spans="1:13" ht="15" customHeight="1" x14ac:dyDescent="0.25">
      <c r="A12" t="s">
        <v>118</v>
      </c>
      <c r="F12" s="25"/>
      <c r="G12" s="5"/>
      <c r="H12" s="24" t="b">
        <v>1</v>
      </c>
    </row>
    <row r="13" spans="1:13" ht="15" customHeight="1" x14ac:dyDescent="0.25">
      <c r="A13" t="s">
        <v>119</v>
      </c>
      <c r="F13" s="26">
        <v>10</v>
      </c>
      <c r="G13" s="5" t="s">
        <v>125</v>
      </c>
      <c r="H13" s="24"/>
    </row>
    <row r="14" spans="1:13" ht="15" customHeight="1" x14ac:dyDescent="0.25">
      <c r="A14" t="s">
        <v>120</v>
      </c>
      <c r="F14" s="26"/>
      <c r="G14" s="5"/>
      <c r="H14" s="24" t="b">
        <v>1</v>
      </c>
    </row>
    <row r="15" spans="1:13" ht="15" customHeight="1" x14ac:dyDescent="0.25">
      <c r="A15" t="s">
        <v>121</v>
      </c>
      <c r="F15" s="27">
        <v>7.0000000000000007E-2</v>
      </c>
      <c r="G15" s="5" t="s">
        <v>122</v>
      </c>
      <c r="H15" s="24"/>
    </row>
    <row r="17" spans="1:7" x14ac:dyDescent="0.25">
      <c r="A17" t="s">
        <v>69</v>
      </c>
      <c r="F17" s="29">
        <f>F11*IF($H$12=TRUE,0.15,0.045)*IF($H$14=TRUE,1100,1700)*(1-etagrid)</f>
        <v>2148.2999999999997</v>
      </c>
      <c r="G17" s="5" t="s">
        <v>25</v>
      </c>
    </row>
    <row r="18" spans="1:7" x14ac:dyDescent="0.25">
      <c r="A18" t="s">
        <v>70</v>
      </c>
      <c r="F18" s="29">
        <f>F17*F9/Kurs_EUR</f>
        <v>128215.16267648863</v>
      </c>
      <c r="G18" s="5" t="s">
        <v>26</v>
      </c>
    </row>
    <row r="19" spans="1:7" x14ac:dyDescent="0.25">
      <c r="A19" t="s">
        <v>123</v>
      </c>
      <c r="F19" s="30">
        <f>IF(Gorivo="Prirodni gas",EFAKTOR,IF(Gorivo="Tečni naftni gas",EFAKTOR,0))</f>
        <v>0</v>
      </c>
      <c r="G19" s="5" t="s">
        <v>124</v>
      </c>
    </row>
  </sheetData>
  <sheetProtection selectLockedCells="1"/>
  <mergeCells count="4">
    <mergeCell ref="A7:F7"/>
    <mergeCell ref="I9:J10"/>
    <mergeCell ref="L9:M10"/>
    <mergeCell ref="F3:H3"/>
  </mergeCells>
  <hyperlinks>
    <hyperlink ref="I9:J10" location="UnosPodataka!O5" display="NAZAD"/>
    <hyperlink ref="L9:M10" location="Anuiteti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6" r:id="rId4" name="Check Box 6">
              <controlPr defaultSize="0" autoFill="0" autoLine="0" autoPict="0">
                <anchor moveWithCells="1">
                  <from>
                    <xdr:col>5</xdr:col>
                    <xdr:colOff>361950</xdr:colOff>
                    <xdr:row>11</xdr:row>
                    <xdr:rowOff>0</xdr:rowOff>
                  </from>
                  <to>
                    <xdr:col>6</xdr:col>
                    <xdr:colOff>333375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5" name="Check Box 8">
              <controlPr defaultSize="0" autoFill="0" autoLine="0" autoPict="0">
                <anchor moveWithCells="1">
                  <from>
                    <xdr:col>5</xdr:col>
                    <xdr:colOff>361950</xdr:colOff>
                    <xdr:row>12</xdr:row>
                    <xdr:rowOff>180975</xdr:rowOff>
                  </from>
                  <to>
                    <xdr:col>6</xdr:col>
                    <xdr:colOff>333375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D26" sqref="D26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E3" s="60" t="s">
        <v>150</v>
      </c>
      <c r="F3" s="60"/>
      <c r="G3" s="60"/>
      <c r="H3" s="60"/>
    </row>
    <row r="7" spans="2:13" ht="21" x14ac:dyDescent="0.35">
      <c r="B7" s="67" t="s">
        <v>76</v>
      </c>
      <c r="C7" s="67"/>
      <c r="D7" s="67"/>
      <c r="E7" s="67"/>
      <c r="F7" s="67"/>
      <c r="G7" s="67"/>
    </row>
    <row r="9" spans="2:13" x14ac:dyDescent="0.25">
      <c r="B9" t="s">
        <v>110</v>
      </c>
      <c r="D9" s="5" t="s">
        <v>1</v>
      </c>
      <c r="E9" s="12">
        <f>LOAN</f>
        <v>173000</v>
      </c>
      <c r="I9" s="64" t="s">
        <v>129</v>
      </c>
      <c r="J9" s="64"/>
      <c r="L9" s="65" t="s">
        <v>130</v>
      </c>
      <c r="M9" s="65"/>
    </row>
    <row r="10" spans="2:13" x14ac:dyDescent="0.25">
      <c r="I10" s="64"/>
      <c r="J10" s="64"/>
      <c r="L10" s="65"/>
      <c r="M10" s="65"/>
    </row>
    <row r="11" spans="2:13" x14ac:dyDescent="0.25">
      <c r="B11" s="13" t="s">
        <v>27</v>
      </c>
      <c r="C11" s="13" t="s">
        <v>77</v>
      </c>
      <c r="D11" s="13" t="s">
        <v>78</v>
      </c>
      <c r="E11" s="13" t="s">
        <v>79</v>
      </c>
    </row>
    <row r="13" spans="2:13" x14ac:dyDescent="0.25">
      <c r="B13">
        <v>1</v>
      </c>
      <c r="C13" s="2">
        <f>E9</f>
        <v>173000</v>
      </c>
      <c r="D13" s="2">
        <f>IF(UnosPodataka!M19=0,"",UnosPodataka!$M$19*Anuiteti!$E$9)</f>
        <v>20760</v>
      </c>
      <c r="E13" s="2">
        <f>PMT(UnosPodataka!$M$19,UnosPodataka!$M$21,Anuiteti!$E$9)</f>
        <v>-34825.391558151845</v>
      </c>
    </row>
    <row r="14" spans="2:13" x14ac:dyDescent="0.25">
      <c r="B14">
        <f>IF(B13&lt;UnosPodataka!$M$21,B13+1,"")</f>
        <v>2</v>
      </c>
      <c r="C14" s="2">
        <f>IF(B14&lt;&gt;"",SUM(C13:E13),"")</f>
        <v>158934.60844184816</v>
      </c>
      <c r="D14" s="2">
        <f>IF(B14&lt;&gt;"",C14*UnosPodataka!$M$19,"")</f>
        <v>19072.15301302178</v>
      </c>
      <c r="E14" s="2">
        <f>IF(B14&lt;&gt;"",PMT(UnosPodataka!$M$19,UnosPodataka!$M$21,Anuiteti!$E$9),"")</f>
        <v>-34825.391558151845</v>
      </c>
    </row>
    <row r="15" spans="2:13" x14ac:dyDescent="0.25">
      <c r="B15">
        <f>IF(B14&lt;UnosPodataka!$M$21,B14+1,"")</f>
        <v>3</v>
      </c>
      <c r="C15" s="2">
        <f t="shared" ref="C15:C32" si="0">IF(B15&lt;&gt;"",SUM(C14:E14),"")</f>
        <v>143181.3698967181</v>
      </c>
      <c r="D15" s="2">
        <f>IF(B15&lt;&gt;"",C15*UnosPodataka!$M$19,"")</f>
        <v>17181.76438760617</v>
      </c>
      <c r="E15" s="2">
        <f>IF(B15&lt;&gt;"",PMT(UnosPodataka!$M$19,UnosPodataka!$M$21,Anuiteti!$E$9),"")</f>
        <v>-34825.391558151845</v>
      </c>
    </row>
    <row r="16" spans="2:13" x14ac:dyDescent="0.25">
      <c r="B16">
        <f>IF(B15&lt;UnosPodataka!$M$21,B15+1,"")</f>
        <v>4</v>
      </c>
      <c r="C16" s="2">
        <f t="shared" si="0"/>
        <v>125537.74272617244</v>
      </c>
      <c r="D16" s="2">
        <f>IF(B16&lt;&gt;"",C16*UnosPodataka!$M$19,"")</f>
        <v>15064.529127140691</v>
      </c>
      <c r="E16" s="2">
        <f>IF(B16&lt;&gt;"",PMT(UnosPodataka!$M$19,UnosPodataka!$M$21,Anuiteti!$E$9),"")</f>
        <v>-34825.391558151845</v>
      </c>
    </row>
    <row r="17" spans="2:5" x14ac:dyDescent="0.25">
      <c r="B17">
        <f>IF(B16&lt;UnosPodataka!$M$21,B16+1,"")</f>
        <v>5</v>
      </c>
      <c r="C17" s="2">
        <f t="shared" si="0"/>
        <v>105776.8802951613</v>
      </c>
      <c r="D17" s="2">
        <f>IF(B17&lt;&gt;"",C17*UnosPodataka!$M$19,"")</f>
        <v>12693.225635419356</v>
      </c>
      <c r="E17" s="2">
        <f>IF(B17&lt;&gt;"",PMT(UnosPodataka!$M$19,UnosPodataka!$M$21,Anuiteti!$E$9),"")</f>
        <v>-34825.391558151845</v>
      </c>
    </row>
    <row r="18" spans="2:5" x14ac:dyDescent="0.25">
      <c r="B18">
        <f>IF(B17&lt;UnosPodataka!$M$21,B17+1,"")</f>
        <v>6</v>
      </c>
      <c r="C18" s="2">
        <f t="shared" si="0"/>
        <v>83644.714372428803</v>
      </c>
      <c r="D18" s="2">
        <f>IF(B18&lt;&gt;"",C18*UnosPodataka!$M$19,"")</f>
        <v>10037.365724691455</v>
      </c>
      <c r="E18" s="2">
        <f>IF(B18&lt;&gt;"",PMT(UnosPodataka!$M$19,UnosPodataka!$M$21,Anuiteti!$E$9),"")</f>
        <v>-34825.391558151845</v>
      </c>
    </row>
    <row r="19" spans="2:5" x14ac:dyDescent="0.25">
      <c r="B19">
        <f>IF(B18&lt;UnosPodataka!$M$21,B18+1,"")</f>
        <v>7</v>
      </c>
      <c r="C19" s="2">
        <f t="shared" si="0"/>
        <v>58856.68853896841</v>
      </c>
      <c r="D19" s="2">
        <f>IF(B19&lt;&gt;"",C19*UnosPodataka!$M$19,"")</f>
        <v>7062.8026246762092</v>
      </c>
      <c r="E19" s="2">
        <f>IF(B19&lt;&gt;"",PMT(UnosPodataka!$M$19,UnosPodataka!$M$21,Anuiteti!$E$9),"")</f>
        <v>-34825.391558151845</v>
      </c>
    </row>
    <row r="20" spans="2:5" x14ac:dyDescent="0.25">
      <c r="B20">
        <f>IF(B19&lt;UnosPodataka!$M$21,B19+1,"")</f>
        <v>8</v>
      </c>
      <c r="C20" s="2">
        <f t="shared" si="0"/>
        <v>31094.099605492775</v>
      </c>
      <c r="D20" s="2">
        <f>IF(B20&lt;&gt;"",C20*UnosPodataka!$M$19,"")</f>
        <v>3731.2919526591327</v>
      </c>
      <c r="E20" s="2">
        <f>IF(B20&lt;&gt;"",PMT(UnosPodataka!$M$19,UnosPodataka!$M$21,Anuiteti!$E$9),"")</f>
        <v>-34825.391558151845</v>
      </c>
    </row>
    <row r="21" spans="2:5" x14ac:dyDescent="0.25">
      <c r="B21" t="str">
        <f>IF(B20&lt;UnosPodataka!$M$21,B20+1,"")</f>
        <v/>
      </c>
      <c r="C21" s="2" t="str">
        <f t="shared" si="0"/>
        <v/>
      </c>
      <c r="D21" s="2" t="str">
        <f>IF(B21&lt;&gt;"",C21*UnosPodataka!$M$19,"")</f>
        <v/>
      </c>
      <c r="E21" s="2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2" t="str">
        <f t="shared" si="0"/>
        <v/>
      </c>
      <c r="D22" s="2" t="str">
        <f>IF(B22&lt;&gt;"",C22*UnosPodataka!$M$19,"")</f>
        <v/>
      </c>
      <c r="E22" s="2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2" t="str">
        <f t="shared" si="0"/>
        <v/>
      </c>
      <c r="D23" s="2" t="str">
        <f>IF(B23&lt;&gt;"",C23*UnosPodataka!$M$19,"")</f>
        <v/>
      </c>
      <c r="E23" s="2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2" t="str">
        <f t="shared" si="0"/>
        <v/>
      </c>
      <c r="D24" s="2" t="str">
        <f>IF(B24&lt;&gt;"",C24*UnosPodataka!$M$19,"")</f>
        <v/>
      </c>
      <c r="E24" s="2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2" t="str">
        <f t="shared" si="0"/>
        <v/>
      </c>
      <c r="D25" s="2" t="str">
        <f>IF(B25&lt;&gt;"",C25*UnosPodataka!$M$19,"")</f>
        <v/>
      </c>
      <c r="E25" s="2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2" t="str">
        <f t="shared" si="0"/>
        <v/>
      </c>
      <c r="D26" s="2" t="str">
        <f>IF(B26&lt;&gt;"",C26*UnosPodataka!$M$19,"")</f>
        <v/>
      </c>
      <c r="E26" s="2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2" t="str">
        <f t="shared" si="0"/>
        <v/>
      </c>
      <c r="D27" s="2" t="str">
        <f>IF(B27&lt;&gt;"",C27*UnosPodataka!$M$19,"")</f>
        <v/>
      </c>
      <c r="E27" s="2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2" t="str">
        <f t="shared" si="0"/>
        <v/>
      </c>
      <c r="D28" s="2" t="str">
        <f>IF(B28&lt;&gt;"",C28*UnosPodataka!$M$19,"")</f>
        <v/>
      </c>
      <c r="E28" s="2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2" t="str">
        <f t="shared" si="0"/>
        <v/>
      </c>
      <c r="D29" s="2" t="str">
        <f>IF(B29&lt;&gt;"",C29*UnosPodataka!$M$19,"")</f>
        <v/>
      </c>
      <c r="E29" s="2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2" t="str">
        <f t="shared" si="0"/>
        <v/>
      </c>
      <c r="D30" s="2" t="str">
        <f>IF(B30&lt;&gt;"",C30*UnosPodataka!$M$19,"")</f>
        <v/>
      </c>
      <c r="E30" s="2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2" t="str">
        <f t="shared" si="0"/>
        <v/>
      </c>
      <c r="D31" s="2" t="str">
        <f>IF(B31&lt;&gt;"",C31*UnosPodataka!$M$19,"")</f>
        <v/>
      </c>
      <c r="E31" s="2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2" t="str">
        <f t="shared" si="0"/>
        <v/>
      </c>
      <c r="D32" s="2" t="str">
        <f>IF(B32&lt;&gt;"",C32*UnosPodataka!$M$19,"")</f>
        <v/>
      </c>
      <c r="E32" s="2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E3:H3"/>
  </mergeCells>
  <hyperlinks>
    <hyperlink ref="I9:J10" location="Ustede!J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0"/>
  <sheetViews>
    <sheetView showZeros="0" topLeftCell="A8" zoomScale="80" zoomScaleNormal="80" workbookViewId="0">
      <selection activeCell="F22" sqref="F22"/>
    </sheetView>
  </sheetViews>
  <sheetFormatPr defaultRowHeight="15" x14ac:dyDescent="0.25"/>
  <cols>
    <col min="4" max="4" width="13.710937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0" t="s">
        <v>150</v>
      </c>
      <c r="G3" s="60"/>
      <c r="H3" s="60"/>
      <c r="I3" s="60"/>
    </row>
    <row r="7" spans="1:25" ht="21" x14ac:dyDescent="0.35">
      <c r="A7" s="67" t="s">
        <v>80</v>
      </c>
      <c r="B7" s="67"/>
      <c r="C7" s="67"/>
      <c r="D7" s="67"/>
      <c r="I7" s="76" t="s">
        <v>129</v>
      </c>
      <c r="J7" s="76"/>
      <c r="N7" s="77" t="s">
        <v>130</v>
      </c>
      <c r="O7" s="77"/>
    </row>
    <row r="9" spans="1:25" x14ac:dyDescent="0.25">
      <c r="A9" s="63" t="s">
        <v>63</v>
      </c>
      <c r="B9" s="63"/>
      <c r="C9" s="63"/>
      <c r="D9" s="63"/>
      <c r="E9" s="13">
        <v>0</v>
      </c>
      <c r="F9" s="13">
        <v>1</v>
      </c>
      <c r="G9" s="13">
        <f>IF(F9&lt;UnosPodataka!$M$24,FinaIndicators!F9+1,"")</f>
        <v>2</v>
      </c>
      <c r="H9" s="13">
        <f>IF(G9&lt;UnosPodataka!$M$24,FinaIndicators!G9+1,"")</f>
        <v>3</v>
      </c>
      <c r="I9" s="13">
        <f>IF(H9&lt;UnosPodataka!$M$24,FinaIndicators!H9+1,"")</f>
        <v>4</v>
      </c>
      <c r="J9" s="13">
        <f>IF(I9&lt;UnosPodataka!$M$24,FinaIndicators!I9+1,"")</f>
        <v>5</v>
      </c>
      <c r="K9" s="13">
        <f>IF(J9&lt;UnosPodataka!$M$24,FinaIndicators!J9+1,"")</f>
        <v>6</v>
      </c>
      <c r="L9" s="13">
        <f>IF(K9&lt;UnosPodataka!$M$24,FinaIndicators!K9+1,"")</f>
        <v>7</v>
      </c>
      <c r="M9" s="13">
        <f>IF(L9&lt;UnosPodataka!$M$24,FinaIndicators!L9+1,"")</f>
        <v>8</v>
      </c>
      <c r="N9" s="13">
        <f>IF(M9&lt;UnosPodataka!$M$24,FinaIndicators!M9+1,"")</f>
        <v>9</v>
      </c>
      <c r="O9" s="13">
        <f>IF(N9&lt;UnosPodataka!$M$24,FinaIndicators!N9+1,"")</f>
        <v>10</v>
      </c>
      <c r="P9" s="13">
        <f>IF(O9&lt;UnosPodataka!$M$24,FinaIndicators!O9+1,"")</f>
        <v>11</v>
      </c>
      <c r="Q9" s="13">
        <f>IF(P9&lt;UnosPodataka!$M$24,FinaIndicators!P9+1,"")</f>
        <v>12</v>
      </c>
      <c r="R9" s="13">
        <f>IF(Q9&lt;UnosPodataka!$M$24,FinaIndicators!Q9+1,"")</f>
        <v>13</v>
      </c>
      <c r="S9" s="13">
        <f>IF(R9&lt;UnosPodataka!$M$24,FinaIndicators!R9+1,"")</f>
        <v>14</v>
      </c>
      <c r="T9" s="13">
        <f>IF(S9&lt;UnosPodataka!$M$24,FinaIndicators!S9+1,"")</f>
        <v>15</v>
      </c>
      <c r="U9" s="13">
        <f>IF(T9&lt;UnosPodataka!$M$24,FinaIndicators!T9+1,"")</f>
        <v>16</v>
      </c>
      <c r="V9" s="13">
        <f>IF(U9&lt;UnosPodataka!$M$24,FinaIndicators!U9+1,"")</f>
        <v>17</v>
      </c>
      <c r="W9" s="13">
        <f>IF(V9&lt;UnosPodataka!$M$24,FinaIndicators!V9+1,"")</f>
        <v>18</v>
      </c>
      <c r="X9" s="13">
        <f>IF(W9&lt;UnosPodataka!$M$24,FinaIndicators!W9+1,"")</f>
        <v>19</v>
      </c>
      <c r="Y9" s="13">
        <f>IF(X9&lt;UnosPodataka!$M$24,FinaIndicators!X9+1,"")</f>
        <v>20</v>
      </c>
    </row>
    <row r="11" spans="1:25" x14ac:dyDescent="0.25">
      <c r="A11" s="70" t="s">
        <v>81</v>
      </c>
      <c r="B11" s="70"/>
      <c r="C11" s="70"/>
      <c r="D11" s="70"/>
      <c r="E11" s="2">
        <f>LOAN</f>
        <v>173000</v>
      </c>
    </row>
    <row r="12" spans="1:25" x14ac:dyDescent="0.25">
      <c r="A12" s="70" t="s">
        <v>82</v>
      </c>
      <c r="B12" s="70"/>
      <c r="C12" s="70"/>
      <c r="D12" s="70"/>
      <c r="E12" s="2">
        <f>IF(Equity=0,LOAN,Equity)</f>
        <v>45000</v>
      </c>
    </row>
    <row r="13" spans="1:25" x14ac:dyDescent="0.25">
      <c r="A13" s="74"/>
      <c r="B13" s="74"/>
      <c r="C13" s="74"/>
      <c r="D13" s="74"/>
    </row>
    <row r="14" spans="1:25" x14ac:dyDescent="0.25">
      <c r="A14" s="70" t="s">
        <v>94</v>
      </c>
      <c r="B14" s="70"/>
      <c r="C14" s="70"/>
      <c r="D14" s="70"/>
      <c r="F14" s="2">
        <f>IF(F9&lt;&gt;"",Ustede!$F$17,"")</f>
        <v>2148.2999999999997</v>
      </c>
      <c r="G14" s="2">
        <f>IF(G9&lt;&gt;"",Ustede!$F$17,"")</f>
        <v>2148.2999999999997</v>
      </c>
      <c r="H14" s="2">
        <f>IF(H9&lt;&gt;"",Ustede!$F$17,"")</f>
        <v>2148.2999999999997</v>
      </c>
      <c r="I14" s="2">
        <f>IF(I9&lt;&gt;"",Ustede!$F$17,"")</f>
        <v>2148.2999999999997</v>
      </c>
      <c r="J14" s="2">
        <f>IF(J9&lt;&gt;"",Ustede!$F$17,"")</f>
        <v>2148.2999999999997</v>
      </c>
      <c r="K14" s="2">
        <f>IF(K9&lt;&gt;"",Ustede!$F$17,"")</f>
        <v>2148.2999999999997</v>
      </c>
      <c r="L14" s="2">
        <f>IF(L9&lt;&gt;"",Ustede!$F$17,"")</f>
        <v>2148.2999999999997</v>
      </c>
      <c r="M14" s="2">
        <f>IF(M9&lt;&gt;"",Ustede!$F$17,"")</f>
        <v>2148.2999999999997</v>
      </c>
      <c r="N14" s="2">
        <f>IF(N9&lt;&gt;"",Ustede!$F$17,"")</f>
        <v>2148.2999999999997</v>
      </c>
      <c r="O14" s="2">
        <f>IF(O9&lt;&gt;"",Ustede!$F$17,"")</f>
        <v>2148.2999999999997</v>
      </c>
      <c r="P14" s="2">
        <f>IF(P9&lt;&gt;"",Ustede!$F$17,"")</f>
        <v>2148.2999999999997</v>
      </c>
      <c r="Q14" s="2">
        <f>IF(Q9&lt;&gt;"",Ustede!$F$17,"")</f>
        <v>2148.2999999999997</v>
      </c>
      <c r="R14" s="2">
        <f>IF(R9&lt;&gt;"",Ustede!$F$17,"")</f>
        <v>2148.2999999999997</v>
      </c>
      <c r="S14" s="2">
        <f>IF(S9&lt;&gt;"",Ustede!$F$17,"")</f>
        <v>2148.2999999999997</v>
      </c>
      <c r="T14" s="2">
        <f>IF(T9&lt;&gt;"",Ustede!$F$17,"")</f>
        <v>2148.2999999999997</v>
      </c>
      <c r="U14" s="2">
        <f>IF(U9&lt;&gt;"",Ustede!$F$17,"")</f>
        <v>2148.2999999999997</v>
      </c>
      <c r="V14" s="2">
        <f>IF(V9&lt;&gt;"",Ustede!$F$17,"")</f>
        <v>2148.2999999999997</v>
      </c>
      <c r="W14" s="2">
        <f>IF(W9&lt;&gt;"",Ustede!$F$17,"")</f>
        <v>2148.2999999999997</v>
      </c>
      <c r="X14" s="2">
        <f>IF(X9&lt;&gt;"",Ustede!$F$17,"")</f>
        <v>2148.2999999999997</v>
      </c>
      <c r="Y14" s="2">
        <f>IF(Y9&lt;&gt;"",Ustede!$F$17,"")</f>
        <v>2148.2999999999997</v>
      </c>
    </row>
    <row r="15" spans="1:25" x14ac:dyDescent="0.25">
      <c r="A15" s="21"/>
      <c r="B15" s="21"/>
      <c r="C15" s="21"/>
      <c r="D15" s="21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3" t="s">
        <v>152</v>
      </c>
      <c r="B16" s="63"/>
      <c r="C16" s="63"/>
      <c r="D16" s="6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70" t="s">
        <v>83</v>
      </c>
      <c r="B17" s="70"/>
      <c r="C17" s="70"/>
      <c r="D17" s="70"/>
      <c r="F17" s="2">
        <f>IF(F9&lt;&gt;"",Ustede!$F$18,"")</f>
        <v>128215.16267648863</v>
      </c>
      <c r="G17" s="2">
        <f>IF(G9&lt;&gt;"",Ustede!$F$18,"")</f>
        <v>128215.16267648863</v>
      </c>
      <c r="H17" s="2">
        <f>IF(H9&lt;&gt;"",Ustede!$F$18,"")</f>
        <v>128215.16267648863</v>
      </c>
      <c r="I17" s="2">
        <f>IF(I9&lt;&gt;"",Ustede!$F$18,"")</f>
        <v>128215.16267648863</v>
      </c>
      <c r="J17" s="2">
        <f>IF(J9&lt;&gt;"",Ustede!$F$18,"")</f>
        <v>128215.16267648863</v>
      </c>
      <c r="K17" s="2">
        <f>IF(K9&lt;&gt;"",Ustede!$F$18,"")</f>
        <v>128215.16267648863</v>
      </c>
      <c r="L17" s="2">
        <f>IF(L9&lt;&gt;"",Ustede!$F$18,"")</f>
        <v>128215.16267648863</v>
      </c>
      <c r="M17" s="2">
        <f>IF(M9&lt;&gt;"",Ustede!$F$18,"")</f>
        <v>128215.16267648863</v>
      </c>
      <c r="N17" s="2">
        <f>IF(N9&lt;&gt;"",Ustede!$F$18,"")</f>
        <v>128215.16267648863</v>
      </c>
      <c r="O17" s="2">
        <f>IF(O9&lt;&gt;"",Ustede!$F$18,"")</f>
        <v>128215.16267648863</v>
      </c>
      <c r="P17" s="2">
        <f>IF(P9&lt;&gt;"",Ustede!$F$18,"")</f>
        <v>128215.16267648863</v>
      </c>
      <c r="Q17" s="2">
        <f>IF(Q9&lt;&gt;"",Ustede!$F$18,"")</f>
        <v>128215.16267648863</v>
      </c>
      <c r="R17" s="2">
        <f>IF(R9&lt;&gt;"",Ustede!$F$18,"")</f>
        <v>128215.16267648863</v>
      </c>
      <c r="S17" s="2">
        <f>IF(S9&lt;&gt;"",Ustede!$F$18,"")</f>
        <v>128215.16267648863</v>
      </c>
      <c r="T17" s="2">
        <f>IF(T9&lt;&gt;"",Ustede!$F$18,"")</f>
        <v>128215.16267648863</v>
      </c>
      <c r="U17" s="2">
        <f>IF(U9&lt;&gt;"",Ustede!$F$18,"")</f>
        <v>128215.16267648863</v>
      </c>
      <c r="V17" s="2">
        <f>IF(V9&lt;&gt;"",Ustede!$F$18,"")</f>
        <v>128215.16267648863</v>
      </c>
      <c r="W17" s="2">
        <f>IF(W9&lt;&gt;"",Ustede!$F$18,"")</f>
        <v>128215.16267648863</v>
      </c>
      <c r="X17" s="2">
        <f>IF(X9&lt;&gt;"",Ustede!$F$18,"")</f>
        <v>128215.16267648863</v>
      </c>
      <c r="Y17" s="2">
        <f>IF(Y9&lt;&gt;"",Ustede!$F$18,"")</f>
        <v>128215.16267648863</v>
      </c>
    </row>
    <row r="18" spans="1:25" x14ac:dyDescent="0.25">
      <c r="A18" s="75" t="s">
        <v>84</v>
      </c>
      <c r="B18" s="75"/>
      <c r="C18" s="75"/>
      <c r="D18" s="75"/>
      <c r="E18" s="34"/>
      <c r="F18" s="35">
        <f t="shared" ref="F18:Y18" si="0">IF(F9&lt;&gt;"",F17,"")</f>
        <v>128215.16267648863</v>
      </c>
      <c r="G18" s="35">
        <f t="shared" si="0"/>
        <v>128215.16267648863</v>
      </c>
      <c r="H18" s="35">
        <f t="shared" si="0"/>
        <v>128215.16267648863</v>
      </c>
      <c r="I18" s="35">
        <f t="shared" si="0"/>
        <v>128215.16267648863</v>
      </c>
      <c r="J18" s="35">
        <f t="shared" si="0"/>
        <v>128215.16267648863</v>
      </c>
      <c r="K18" s="35">
        <f t="shared" si="0"/>
        <v>128215.16267648863</v>
      </c>
      <c r="L18" s="35">
        <f t="shared" si="0"/>
        <v>128215.16267648863</v>
      </c>
      <c r="M18" s="35">
        <f t="shared" si="0"/>
        <v>128215.16267648863</v>
      </c>
      <c r="N18" s="35">
        <f t="shared" si="0"/>
        <v>128215.16267648863</v>
      </c>
      <c r="O18" s="35">
        <f t="shared" si="0"/>
        <v>128215.16267648863</v>
      </c>
      <c r="P18" s="35">
        <f t="shared" si="0"/>
        <v>128215.16267648863</v>
      </c>
      <c r="Q18" s="35">
        <f t="shared" si="0"/>
        <v>128215.16267648863</v>
      </c>
      <c r="R18" s="35">
        <f t="shared" si="0"/>
        <v>128215.16267648863</v>
      </c>
      <c r="S18" s="35">
        <f t="shared" si="0"/>
        <v>128215.16267648863</v>
      </c>
      <c r="T18" s="35">
        <f t="shared" si="0"/>
        <v>128215.16267648863</v>
      </c>
      <c r="U18" s="35">
        <f t="shared" si="0"/>
        <v>128215.16267648863</v>
      </c>
      <c r="V18" s="35">
        <f t="shared" si="0"/>
        <v>128215.16267648863</v>
      </c>
      <c r="W18" s="35">
        <f t="shared" si="0"/>
        <v>128215.16267648863</v>
      </c>
      <c r="X18" s="35">
        <f t="shared" si="0"/>
        <v>128215.16267648863</v>
      </c>
      <c r="Y18" s="35">
        <f t="shared" si="0"/>
        <v>128215.16267648863</v>
      </c>
    </row>
    <row r="19" spans="1:25" x14ac:dyDescent="0.25">
      <c r="A19" s="74"/>
      <c r="B19" s="74"/>
      <c r="C19" s="74"/>
      <c r="D19" s="74"/>
    </row>
    <row r="20" spans="1:25" x14ac:dyDescent="0.25">
      <c r="A20" s="63" t="s">
        <v>153</v>
      </c>
      <c r="B20" s="63"/>
      <c r="C20" s="63"/>
      <c r="D20" s="63"/>
    </row>
    <row r="21" spans="1:25" x14ac:dyDescent="0.25">
      <c r="A21" s="70" t="s">
        <v>85</v>
      </c>
      <c r="B21" s="70"/>
      <c r="C21" s="70"/>
      <c r="D21" s="70"/>
      <c r="F21" s="2">
        <f>IF(F9&gt;UnosPodataka!$M$21,"",-VLOOKUP(F9,Anuiteti!$B$13:$E$32,3,FALSE))</f>
        <v>-20760</v>
      </c>
      <c r="G21" s="2">
        <f>IF(G9&gt;UnosPodataka!$M$21,"",-VLOOKUP(G9,Anuiteti!$B$13:$E$32,3,FALSE))</f>
        <v>-19072.15301302178</v>
      </c>
      <c r="H21" s="2">
        <f>IF(H9&gt;UnosPodataka!$M$21,"",-VLOOKUP(H9,Anuiteti!$B$13:$E$32,3,FALSE))</f>
        <v>-17181.76438760617</v>
      </c>
      <c r="I21" s="2">
        <f>IF(I9&gt;UnosPodataka!$M$21,"",-VLOOKUP(I9,Anuiteti!$B$13:$E$32,3,FALSE))</f>
        <v>-15064.529127140691</v>
      </c>
      <c r="J21" s="2">
        <f>IF(J9&gt;UnosPodataka!$M$21,"",-VLOOKUP(J9,Anuiteti!$B$13:$E$32,3,FALSE))</f>
        <v>-12693.225635419356</v>
      </c>
      <c r="K21" s="2">
        <f>IF(K9&gt;UnosPodataka!$M$21,"",-VLOOKUP(K9,Anuiteti!$B$13:$E$32,3,FALSE))</f>
        <v>-10037.365724691455</v>
      </c>
      <c r="L21" s="2">
        <f>IF(L9&gt;UnosPodataka!$M$21,"",-VLOOKUP(L9,Anuiteti!$B$13:$E$32,3,FALSE))</f>
        <v>-7062.8026246762092</v>
      </c>
      <c r="M21" s="2">
        <f>IF(M9&gt;UnosPodataka!$M$21,"",-VLOOKUP(M9,Anuiteti!$B$13:$E$32,3,FALSE))</f>
        <v>-3731.2919526591327</v>
      </c>
      <c r="N21" s="2" t="str">
        <f>IF(N9&gt;UnosPodataka!$M$21,"",-VLOOKUP(N9,Anuiteti!$B$13:$E$32,3,FALSE))</f>
        <v/>
      </c>
      <c r="O21" s="2" t="str">
        <f>IF(O9&gt;UnosPodataka!$M$21,"",-VLOOKUP(O9,Anuiteti!$B$13:$E$32,3,FALSE))</f>
        <v/>
      </c>
      <c r="P21" s="2" t="str">
        <f>IF(P9&gt;UnosPodataka!$M$21,"",-VLOOKUP(P9,Anuiteti!$B$13:$E$32,3,FALSE))</f>
        <v/>
      </c>
      <c r="Q21" s="2" t="str">
        <f>IF(Q9&gt;UnosPodataka!$M$21,"",-VLOOKUP(Q9,Anuiteti!$B$13:$E$32,3,FALSE))</f>
        <v/>
      </c>
      <c r="R21" s="2" t="str">
        <f>IF(R9&gt;UnosPodataka!$M$21,"",-VLOOKUP(R9,Anuiteti!$B$13:$E$32,3,FALSE))</f>
        <v/>
      </c>
      <c r="S21" s="2" t="str">
        <f>IF(S9&gt;UnosPodataka!$M$21,"",-VLOOKUP(S9,Anuiteti!$B$13:$E$32,3,FALSE))</f>
        <v/>
      </c>
      <c r="T21" s="2" t="str">
        <f>IF(T9&gt;UnosPodataka!$M$21,"",-VLOOKUP(T9,Anuiteti!$B$13:$E$32,3,FALSE))</f>
        <v/>
      </c>
      <c r="U21" s="2" t="str">
        <f>IF(U9&gt;UnosPodataka!$M$21,"",-VLOOKUP(U9,Anuiteti!$B$13:$E$32,3,FALSE))</f>
        <v/>
      </c>
      <c r="V21" s="2" t="str">
        <f>IF(V9&gt;UnosPodataka!$M$21,"",-VLOOKUP(V9,Anuiteti!$B$13:$E$32,3,FALSE))</f>
        <v/>
      </c>
      <c r="W21" s="2" t="str">
        <f>IF(W9&gt;UnosPodataka!$M$21,"",-VLOOKUP(W9,Anuiteti!$B$13:$E$32,3,FALSE))</f>
        <v/>
      </c>
      <c r="X21" s="2" t="str">
        <f>IF(X9&gt;UnosPodataka!$M$21,"",-VLOOKUP(X9,Anuiteti!$B$13:$E$32,3,FALSE))</f>
        <v/>
      </c>
      <c r="Y21" s="2" t="str">
        <f>IF(Y9&gt;UnosPodataka!$M$21,"",-VLOOKUP(Y9,Anuiteti!$B$13:$E$32,3,FALSE))</f>
        <v/>
      </c>
    </row>
    <row r="22" spans="1:25" x14ac:dyDescent="0.25">
      <c r="A22" s="21" t="s">
        <v>154</v>
      </c>
      <c r="B22" s="21"/>
      <c r="C22" s="21"/>
      <c r="D22" s="21"/>
      <c r="F22" s="2">
        <f>IF(F21="",0,IF(F9&gt;UnosPodataka!$M$24,"",VLOOKUP(F9,Anuiteti!$B$13:$E$32,4,FALSE)+VLOOKUP(F9,Anuiteti!$B$13:$E$32,3,FALSE)))</f>
        <v>-14065.391558151845</v>
      </c>
      <c r="G22" s="2">
        <f>IF(G21="",0,IF(G9&gt;UnosPodataka!$M$24,"",VLOOKUP(G9,Anuiteti!$B$13:$E$32,4,FALSE)+VLOOKUP(G9,Anuiteti!$B$13:$E$32,3,FALSE)))</f>
        <v>-15753.238545130065</v>
      </c>
      <c r="H22" s="2">
        <f>IF(H21="",0,IF(H9&gt;UnosPodataka!$M$24,"",VLOOKUP(H9,Anuiteti!$B$13:$E$32,4,FALSE)+VLOOKUP(H9,Anuiteti!$B$13:$E$32,3,FALSE)))</f>
        <v>-17643.627170545675</v>
      </c>
      <c r="I22" s="2">
        <f>IF(I21="",0,IF(I9&gt;UnosPodataka!$M$24,"",VLOOKUP(I9,Anuiteti!$B$13:$E$32,4,FALSE)+VLOOKUP(I9,Anuiteti!$B$13:$E$32,3,FALSE)))</f>
        <v>-19760.862431011155</v>
      </c>
      <c r="J22" s="2">
        <f>IF(J21="",0,IF(J9&gt;UnosPodataka!$M$24,"",VLOOKUP(J9,Anuiteti!$B$13:$E$32,4,FALSE)+VLOOKUP(J9,Anuiteti!$B$13:$E$32,3,FALSE)))</f>
        <v>-22132.165922732489</v>
      </c>
      <c r="K22" s="2">
        <f>IF(K21="",0,IF(K9&gt;UnosPodataka!$M$24,"",VLOOKUP(K9,Anuiteti!$B$13:$E$32,4,FALSE)+VLOOKUP(K9,Anuiteti!$B$13:$E$32,3,FALSE)))</f>
        <v>-24788.02583346039</v>
      </c>
      <c r="L22" s="2">
        <f>IF(L21="",0,IF(L9&gt;UnosPodataka!$M$24,"",VLOOKUP(L9,Anuiteti!$B$13:$E$32,4,FALSE)+VLOOKUP(L9,Anuiteti!$B$13:$E$32,3,FALSE)))</f>
        <v>-27762.588933475636</v>
      </c>
      <c r="M22" s="2">
        <f>IF(M21="",0,IF(M9&gt;UnosPodataka!$M$24,"",VLOOKUP(M9,Anuiteti!$B$13:$E$32,4,FALSE)+VLOOKUP(M9,Anuiteti!$B$13:$E$32,3,FALSE)))</f>
        <v>-31094.099605492713</v>
      </c>
      <c r="N22" s="2">
        <f>IF(N21="",0,IF(N9&gt;UnosPodataka!$M$24,"",VLOOKUP(N9,Anuiteti!$B$13:$E$32,4,FALSE)+VLOOKUP(N9,Anuiteti!$B$13:$E$32,3,FALSE)))</f>
        <v>0</v>
      </c>
      <c r="O22" s="2">
        <f>IF(O21="",0,IF(O9&gt;UnosPodataka!$M$24,"",VLOOKUP(O9,Anuiteti!$B$13:$E$32,4,FALSE)+VLOOKUP(O9,Anuiteti!$B$13:$E$32,3,FALSE)))</f>
        <v>0</v>
      </c>
      <c r="P22" s="2">
        <f>IF(P21="",0,IF(P9&gt;UnosPodataka!$M$24,"",VLOOKUP(P9,Anuiteti!$B$13:$E$32,4,FALSE)+VLOOKUP(P9,Anuiteti!$B$13:$E$32,3,FALSE)))</f>
        <v>0</v>
      </c>
      <c r="Q22" s="2">
        <f>IF(Q21="",0,IF(Q9&gt;UnosPodataka!$M$24,"",VLOOKUP(Q9,Anuiteti!$B$13:$E$32,4,FALSE)+VLOOKUP(Q9,Anuiteti!$B$13:$E$32,3,FALSE)))</f>
        <v>0</v>
      </c>
      <c r="R22" s="2">
        <f>IF(R21="",0,IF(R9&gt;UnosPodataka!$M$24,"",VLOOKUP(R9,Anuiteti!$B$13:$E$32,4,FALSE)+VLOOKUP(R9,Anuiteti!$B$13:$E$32,3,FALSE)))</f>
        <v>0</v>
      </c>
      <c r="S22" s="2">
        <f>IF(S21="",0,IF(S9&gt;UnosPodataka!$M$24,"",VLOOKUP(S9,Anuiteti!$B$13:$E$32,4,FALSE)+VLOOKUP(S9,Anuiteti!$B$13:$E$32,3,FALSE)))</f>
        <v>0</v>
      </c>
      <c r="T22" s="2">
        <f>IF(T21="",0,IF(T9&gt;UnosPodataka!$M$24,"",VLOOKUP(T9,Anuiteti!$B$13:$E$32,4,FALSE)+VLOOKUP(T9,Anuiteti!$B$13:$E$32,3,FALSE)))</f>
        <v>0</v>
      </c>
      <c r="U22" s="2">
        <f>IF(U21="",0,IF(U9&gt;UnosPodataka!$M$24,"",VLOOKUP(U9,Anuiteti!$B$13:$E$32,4,FALSE)+VLOOKUP(U9,Anuiteti!$B$13:$E$32,3,FALSE)))</f>
        <v>0</v>
      </c>
      <c r="V22" s="2">
        <f>IF(V21="",0,IF(V9&gt;UnosPodataka!$M$24,"",VLOOKUP(V9,Anuiteti!$B$13:$E$32,4,FALSE)+VLOOKUP(V9,Anuiteti!$B$13:$E$32,3,FALSE)))</f>
        <v>0</v>
      </c>
      <c r="W22" s="2">
        <f>IF(W21="",0,IF(W9&gt;UnosPodataka!$M$24,"",VLOOKUP(W9,Anuiteti!$B$13:$E$32,4,FALSE)+VLOOKUP(W9,Anuiteti!$B$13:$E$32,3,FALSE)))</f>
        <v>0</v>
      </c>
      <c r="X22" s="2">
        <f>IF(X21="",0,IF(X9&gt;UnosPodataka!$M$24,"",VLOOKUP(X9,Anuiteti!$B$13:$E$32,4,FALSE)+VLOOKUP(X9,Anuiteti!$B$13:$E$32,3,FALSE)))</f>
        <v>0</v>
      </c>
      <c r="Y22" s="2">
        <f>IF(Y21="",0,IF(Y9&gt;UnosPodataka!$M$24,"",VLOOKUP(Y9,Anuiteti!$B$13:$E$32,4,FALSE)+VLOOKUP(Y9,Anuiteti!$B$13:$E$32,3,FALSE)))</f>
        <v>0</v>
      </c>
    </row>
    <row r="23" spans="1:25" x14ac:dyDescent="0.25">
      <c r="A23" s="70" t="s">
        <v>86</v>
      </c>
      <c r="B23" s="70"/>
      <c r="C23" s="70"/>
      <c r="D23" s="70"/>
      <c r="F23" s="2">
        <f>IF(F9&lt;&gt;"",-UnosPodataka!$M$9,"")</f>
        <v>-100</v>
      </c>
      <c r="G23" s="2">
        <f>IF(G9&lt;&gt;"",-UnosPodataka!$M$9,"")</f>
        <v>-100</v>
      </c>
      <c r="H23" s="2">
        <f>IF(H9&lt;&gt;"",-UnosPodataka!$M$9,"")</f>
        <v>-100</v>
      </c>
      <c r="I23" s="2">
        <f>IF(I9&lt;&gt;"",-UnosPodataka!$M$9,"")</f>
        <v>-100</v>
      </c>
      <c r="J23" s="2">
        <f>IF(J9&lt;&gt;"",-UnosPodataka!$M$9,"")</f>
        <v>-100</v>
      </c>
      <c r="K23" s="2">
        <f>IF(K9&lt;&gt;"",-UnosPodataka!$M$9,"")</f>
        <v>-100</v>
      </c>
      <c r="L23" s="2">
        <f>IF(L9&lt;&gt;"",-UnosPodataka!$M$9,"")</f>
        <v>-100</v>
      </c>
      <c r="M23" s="2">
        <f>IF(M9&lt;&gt;"",-UnosPodataka!$M$9,"")</f>
        <v>-100</v>
      </c>
      <c r="N23" s="2">
        <f>IF(N9&lt;&gt;"",-UnosPodataka!$M$9,"")</f>
        <v>-100</v>
      </c>
      <c r="O23" s="2">
        <f>IF(O9&lt;&gt;"",-UnosPodataka!$M$9,"")</f>
        <v>-100</v>
      </c>
      <c r="P23" s="2">
        <f>IF(P9&lt;&gt;"",-UnosPodataka!$M$9,"")</f>
        <v>-100</v>
      </c>
      <c r="Q23" s="2">
        <f>IF(Q9&lt;&gt;"",-UnosPodataka!$M$9,"")</f>
        <v>-100</v>
      </c>
      <c r="R23" s="2">
        <f>IF(R9&lt;&gt;"",-UnosPodataka!$M$9,"")</f>
        <v>-100</v>
      </c>
      <c r="S23" s="2">
        <f>IF(S9&lt;&gt;"",-UnosPodataka!$M$9,"")</f>
        <v>-100</v>
      </c>
      <c r="T23" s="2">
        <f>IF(T9&lt;&gt;"",-UnosPodataka!$M$9,"")</f>
        <v>-100</v>
      </c>
      <c r="U23" s="2">
        <f>IF(U9&lt;&gt;"",-UnosPodataka!$M$9,"")</f>
        <v>-100</v>
      </c>
      <c r="V23" s="2">
        <f>IF(V9&lt;&gt;"",-UnosPodataka!$M$9,"")</f>
        <v>-100</v>
      </c>
      <c r="W23" s="2">
        <f>IF(W9&lt;&gt;"",-UnosPodataka!$M$9,"")</f>
        <v>-100</v>
      </c>
      <c r="X23" s="2">
        <f>IF(X9&lt;&gt;"",-UnosPodataka!$M$9,"")</f>
        <v>-100</v>
      </c>
      <c r="Y23" s="2">
        <f>IF(Y9&lt;&gt;"",-UnosPodataka!$M$9,"")</f>
        <v>-100</v>
      </c>
    </row>
    <row r="24" spans="1:25" x14ac:dyDescent="0.25">
      <c r="A24" s="70" t="s">
        <v>87</v>
      </c>
      <c r="B24" s="70"/>
      <c r="C24" s="70"/>
      <c r="D24" s="70"/>
      <c r="F24" s="2">
        <f>IF(F9&lt;&gt;"",-Investment*UnosPodataka!$M$11,"")</f>
        <v>-6540</v>
      </c>
      <c r="G24" s="2">
        <f>IF(G9&lt;&gt;"",-Investment*UnosPodataka!$M$11,"")</f>
        <v>-6540</v>
      </c>
      <c r="H24" s="2">
        <f>IF(H9&lt;&gt;"",-Investment*UnosPodataka!$M$11,"")</f>
        <v>-6540</v>
      </c>
      <c r="I24" s="2">
        <f>IF(I9&lt;&gt;"",-Investment*UnosPodataka!$M$11,"")</f>
        <v>-6540</v>
      </c>
      <c r="J24" s="2">
        <f>IF(J9&lt;&gt;"",-Investment*UnosPodataka!$M$11,"")</f>
        <v>-6540</v>
      </c>
      <c r="K24" s="2">
        <f>IF(K9&lt;&gt;"",-Investment*UnosPodataka!$M$11,"")</f>
        <v>-6540</v>
      </c>
      <c r="L24" s="2">
        <f>IF(L9&lt;&gt;"",-Investment*UnosPodataka!$M$11,"")</f>
        <v>-6540</v>
      </c>
      <c r="M24" s="2">
        <f>IF(M9&lt;&gt;"",-Investment*UnosPodataka!$M$11,"")</f>
        <v>-6540</v>
      </c>
      <c r="N24" s="2">
        <f>IF(N9&lt;&gt;"",-Investment*UnosPodataka!$M$11,"")</f>
        <v>-6540</v>
      </c>
      <c r="O24" s="2">
        <f>IF(O9&lt;&gt;"",-Investment*UnosPodataka!$M$11,"")</f>
        <v>-6540</v>
      </c>
      <c r="P24" s="2">
        <f>IF(P9&lt;&gt;"",-Investment*UnosPodataka!$M$11,"")</f>
        <v>-6540</v>
      </c>
      <c r="Q24" s="2">
        <f>IF(Q9&lt;&gt;"",-Investment*UnosPodataka!$M$11,"")</f>
        <v>-6540</v>
      </c>
      <c r="R24" s="2">
        <f>IF(R9&lt;&gt;"",-Investment*UnosPodataka!$M$11,"")</f>
        <v>-6540</v>
      </c>
      <c r="S24" s="2">
        <f>IF(S9&lt;&gt;"",-Investment*UnosPodataka!$M$11,"")</f>
        <v>-6540</v>
      </c>
      <c r="T24" s="2">
        <f>IF(T9&lt;&gt;"",-Investment*UnosPodataka!$M$11,"")</f>
        <v>-6540</v>
      </c>
      <c r="U24" s="2">
        <f>IF(U9&lt;&gt;"",-Investment*UnosPodataka!$M$11,"")</f>
        <v>-6540</v>
      </c>
      <c r="V24" s="2">
        <f>IF(V9&lt;&gt;"",-Investment*UnosPodataka!$M$11,"")</f>
        <v>-6540</v>
      </c>
      <c r="W24" s="2">
        <f>IF(W9&lt;&gt;"",-Investment*UnosPodataka!$M$11,"")</f>
        <v>-6540</v>
      </c>
      <c r="X24" s="2">
        <f>IF(X9&lt;&gt;"",-Investment*UnosPodataka!$M$11,"")</f>
        <v>-6540</v>
      </c>
      <c r="Y24" s="2">
        <f>IF(Y9&lt;&gt;"",-Investment*UnosPodataka!$M$11,"")</f>
        <v>-6540</v>
      </c>
    </row>
    <row r="25" spans="1:25" x14ac:dyDescent="0.25">
      <c r="A25" s="70" t="s">
        <v>88</v>
      </c>
      <c r="B25" s="70"/>
      <c r="C25" s="70"/>
      <c r="D25" s="70"/>
      <c r="F25" s="2">
        <f>IF(F9&lt;&gt;"",-ElEn*IF(Ustede!$H$14=TRUE,CirkP*1.1,CirkP*1.7)/Kurs_EUR)</f>
        <v>-1132.9377259395676</v>
      </c>
      <c r="G25" s="2">
        <f>IF(G9&lt;&gt;"",-ElEn*IF(Ustede!$H$14=TRUE,CirkP*1.1,CirkP*1.7)/Kurs_EUR)</f>
        <v>-1132.9377259395676</v>
      </c>
      <c r="H25" s="2">
        <f>IF(H9&lt;&gt;"",-ElEn*IF(Ustede!$H$14=TRUE,CirkP*1.1,CirkP*1.7)/Kurs_EUR)</f>
        <v>-1132.9377259395676</v>
      </c>
      <c r="I25" s="2">
        <f>IF(I9&lt;&gt;"",-ElEn*IF(Ustede!$H$14=TRUE,CirkP*1.1,CirkP*1.7)/Kurs_EUR)</f>
        <v>-1132.9377259395676</v>
      </c>
      <c r="J25" s="2">
        <f>IF(J9&lt;&gt;"",-ElEn*IF(Ustede!$H$14=TRUE,CirkP*1.1,CirkP*1.7)/Kurs_EUR)</f>
        <v>-1132.9377259395676</v>
      </c>
      <c r="K25" s="2">
        <f>IF(K9&lt;&gt;"",-ElEn*IF(Ustede!$H$14=TRUE,CirkP*1.1,CirkP*1.7)/Kurs_EUR)</f>
        <v>-1132.9377259395676</v>
      </c>
      <c r="L25" s="2">
        <f>IF(L9&lt;&gt;"",-ElEn*IF(Ustede!$H$14=TRUE,CirkP*1.1,CirkP*1.7)/Kurs_EUR)</f>
        <v>-1132.9377259395676</v>
      </c>
      <c r="M25" s="2">
        <f>IF(M9&lt;&gt;"",-ElEn*IF(Ustede!$H$14=TRUE,CirkP*1.1,CirkP*1.7)/Kurs_EUR)</f>
        <v>-1132.9377259395676</v>
      </c>
      <c r="N25" s="2">
        <f>IF(N9&lt;&gt;"",-ElEn*IF(Ustede!$H$14=TRUE,CirkP*1.1,CirkP*1.7)/Kurs_EUR)</f>
        <v>-1132.9377259395676</v>
      </c>
      <c r="O25" s="2">
        <f>IF(O9&lt;&gt;"",-ElEn*IF(Ustede!$H$14=TRUE,CirkP*1.1,CirkP*1.7)/Kurs_EUR)</f>
        <v>-1132.9377259395676</v>
      </c>
      <c r="P25" s="2">
        <f>IF(P9&lt;&gt;"",-ElEn*IF(Ustede!$H$14=TRUE,CirkP*1.1,CirkP*1.7)/Kurs_EUR)</f>
        <v>-1132.9377259395676</v>
      </c>
      <c r="Q25" s="2">
        <f>IF(Q9&lt;&gt;"",-ElEn*IF(Ustede!$H$14=TRUE,CirkP*1.1,CirkP*1.7)/Kurs_EUR)</f>
        <v>-1132.9377259395676</v>
      </c>
      <c r="R25" s="2">
        <f>IF(R9&lt;&gt;"",-ElEn*IF(Ustede!$H$14=TRUE,CirkP*1.1,CirkP*1.7)/Kurs_EUR)</f>
        <v>-1132.9377259395676</v>
      </c>
      <c r="S25" s="2">
        <f>IF(S9&lt;&gt;"",-ElEn*IF(Ustede!$H$14=TRUE,CirkP*1.1,CirkP*1.7)/Kurs_EUR)</f>
        <v>-1132.9377259395676</v>
      </c>
      <c r="T25" s="2">
        <f>IF(T9&lt;&gt;"",-ElEn*IF(Ustede!$H$14=TRUE,CirkP*1.1,CirkP*1.7)/Kurs_EUR)</f>
        <v>-1132.9377259395676</v>
      </c>
      <c r="U25" s="2">
        <f>IF(U9&lt;&gt;"",-ElEn*IF(Ustede!$H$14=TRUE,CirkP*1.1,CirkP*1.7)/Kurs_EUR)</f>
        <v>-1132.9377259395676</v>
      </c>
      <c r="V25" s="2">
        <f>IF(V9&lt;&gt;"",-ElEn*IF(Ustede!$H$14=TRUE,CirkP*1.1,CirkP*1.7)/Kurs_EUR)</f>
        <v>-1132.9377259395676</v>
      </c>
      <c r="W25" s="2">
        <f>IF(W9&lt;&gt;"",-ElEn*IF(Ustede!$H$14=TRUE,CirkP*1.1,CirkP*1.7)/Kurs_EUR)</f>
        <v>-1132.9377259395676</v>
      </c>
      <c r="X25" s="2">
        <f>IF(X9&lt;&gt;"",-ElEn*IF(Ustede!$H$14=TRUE,CirkP*1.1,CirkP*1.7)/Kurs_EUR)</f>
        <v>-1132.9377259395676</v>
      </c>
      <c r="Y25" s="2">
        <f>IF(Y9&lt;&gt;"",-ElEn*IF(Ustede!$H$14=TRUE,CirkP*1.1,CirkP*1.7)/Kurs_EUR)</f>
        <v>-1132.9377259395676</v>
      </c>
    </row>
    <row r="26" spans="1:25" x14ac:dyDescent="0.25">
      <c r="A26" s="70" t="s">
        <v>155</v>
      </c>
      <c r="B26" s="70"/>
      <c r="C26" s="70"/>
      <c r="D26" s="70"/>
      <c r="F26" s="2">
        <f>IF(F9&lt;&gt;"",-Investment*UnosPodataka!$M$12,"")</f>
        <v>-21800</v>
      </c>
      <c r="G26" s="2">
        <f>IF(G9&lt;&gt;"",-Investment*UnosPodataka!$M$12,"")</f>
        <v>-21800</v>
      </c>
      <c r="H26" s="2">
        <f>IF(H9&lt;&gt;"",-Investment*UnosPodataka!$M$12,"")</f>
        <v>-21800</v>
      </c>
      <c r="I26" s="2">
        <f>IF(I9&lt;&gt;"",-Investment*UnosPodataka!$M$12,"")</f>
        <v>-21800</v>
      </c>
      <c r="J26" s="2">
        <f>IF(J9&lt;&gt;"",-Investment*UnosPodataka!$M$12,"")</f>
        <v>-21800</v>
      </c>
      <c r="K26" s="2">
        <f>IF(K9&lt;&gt;"",-Investment*UnosPodataka!$M$12,"")</f>
        <v>-21800</v>
      </c>
      <c r="L26" s="2">
        <f>IF(L9&lt;&gt;"",-Investment*UnosPodataka!$M$12,"")</f>
        <v>-21800</v>
      </c>
      <c r="M26" s="2">
        <f>IF(M9&lt;&gt;"",-Investment*UnosPodataka!$M$12,"")</f>
        <v>-21800</v>
      </c>
      <c r="N26" s="2">
        <f>IF(N9&lt;&gt;"",-Investment*UnosPodataka!$M$12,"")</f>
        <v>-21800</v>
      </c>
      <c r="O26" s="2">
        <f>IF(O9&lt;&gt;"",-Investment*UnosPodataka!$M$12,"")</f>
        <v>-21800</v>
      </c>
      <c r="P26" s="2">
        <f>IF(P9&lt;&gt;"",-Investment*UnosPodataka!$M$12,"")</f>
        <v>-21800</v>
      </c>
      <c r="Q26" s="2">
        <f>IF(Q9&lt;&gt;"",-Investment*UnosPodataka!$M$12,"")</f>
        <v>-21800</v>
      </c>
      <c r="R26" s="2">
        <f>IF(R9&lt;&gt;"",-Investment*UnosPodataka!$M$12,"")</f>
        <v>-21800</v>
      </c>
      <c r="S26" s="2">
        <f>IF(S9&lt;&gt;"",-Investment*UnosPodataka!$M$12,"")</f>
        <v>-21800</v>
      </c>
      <c r="T26" s="2">
        <f>IF(T9&lt;&gt;"",-Investment*UnosPodataka!$M$12,"")</f>
        <v>-21800</v>
      </c>
      <c r="U26" s="2">
        <f>IF(U9&lt;&gt;"",-Investment*UnosPodataka!$M$12,"")</f>
        <v>-21800</v>
      </c>
      <c r="V26" s="2">
        <f>IF(V9&lt;&gt;"",-Investment*UnosPodataka!$M$12,"")</f>
        <v>-21800</v>
      </c>
      <c r="W26" s="2">
        <f>IF(W9&lt;&gt;"",-Investment*UnosPodataka!$M$12,"")</f>
        <v>-21800</v>
      </c>
      <c r="X26" s="2">
        <f>IF(X9&lt;&gt;"",-Investment*UnosPodataka!$M$12,"")</f>
        <v>-21800</v>
      </c>
      <c r="Y26" s="2">
        <f>IF(Y9&lt;&gt;"",-Investment*UnosPodataka!$M$12,"")</f>
        <v>-21800</v>
      </c>
    </row>
    <row r="27" spans="1:25" x14ac:dyDescent="0.25">
      <c r="A27" s="70" t="s">
        <v>135</v>
      </c>
      <c r="B27" s="70"/>
      <c r="C27" s="70"/>
      <c r="D27" s="70"/>
      <c r="F27" s="2">
        <f>IF(F9&lt;&gt;"",-(1-UnosPodataka!$M$10)*FinaIndicators!F17)</f>
        <v>0</v>
      </c>
      <c r="G27" s="2">
        <f>IF(G9&lt;&gt;"",-(1-UnosPodataka!$M$10)*FinaIndicators!G17)</f>
        <v>0</v>
      </c>
      <c r="H27" s="2">
        <f>IF(H9&lt;&gt;"",-(1-UnosPodataka!$M$10)*FinaIndicators!H17)</f>
        <v>0</v>
      </c>
      <c r="I27" s="2">
        <f>IF(I9&lt;&gt;"",-(1-UnosPodataka!$M$10)*FinaIndicators!I17)</f>
        <v>0</v>
      </c>
      <c r="J27" s="2">
        <f>IF(J9&lt;&gt;"",-(1-UnosPodataka!$M$10)*FinaIndicators!J17)</f>
        <v>0</v>
      </c>
      <c r="K27" s="2">
        <f>IF(K9&lt;&gt;"",-(1-UnosPodataka!$M$10)*FinaIndicators!K17)</f>
        <v>0</v>
      </c>
      <c r="L27" s="2">
        <f>IF(L9&lt;&gt;"",-(1-UnosPodataka!$M$10)*FinaIndicators!L17)</f>
        <v>0</v>
      </c>
      <c r="M27" s="2">
        <f>IF(M9&lt;&gt;"",-(1-UnosPodataka!$M$10)*FinaIndicators!M17)</f>
        <v>0</v>
      </c>
      <c r="N27" s="2">
        <f>IF(N9&lt;&gt;"",-(1-UnosPodataka!$M$10)*FinaIndicators!N17)</f>
        <v>0</v>
      </c>
      <c r="O27" s="2">
        <f>IF(O9&lt;&gt;"",-(1-UnosPodataka!$M$10)*FinaIndicators!O17)</f>
        <v>0</v>
      </c>
      <c r="P27" s="2">
        <f>IF(P9&lt;&gt;"",-(1-UnosPodataka!$M$10)*FinaIndicators!P17)</f>
        <v>0</v>
      </c>
      <c r="Q27" s="2">
        <f>IF(Q9&lt;&gt;"",-(1-UnosPodataka!$M$10)*FinaIndicators!Q17)</f>
        <v>0</v>
      </c>
      <c r="R27" s="2">
        <f>IF(R9&lt;&gt;"",-(1-UnosPodataka!$M$10)*FinaIndicators!R17)</f>
        <v>0</v>
      </c>
      <c r="S27" s="2">
        <f>IF(S9&lt;&gt;"",-(1-UnosPodataka!$M$10)*FinaIndicators!S17)</f>
        <v>0</v>
      </c>
      <c r="T27" s="2">
        <f>IF(T9&lt;&gt;"",-(1-UnosPodataka!$M$10)*FinaIndicators!T17)</f>
        <v>0</v>
      </c>
      <c r="U27" s="2">
        <f>IF(U9&lt;&gt;"",-(1-UnosPodataka!$M$10)*FinaIndicators!U17)</f>
        <v>0</v>
      </c>
      <c r="V27" s="2">
        <f>IF(V9&lt;&gt;"",-(1-UnosPodataka!$M$10)*FinaIndicators!V17)</f>
        <v>0</v>
      </c>
      <c r="W27" s="2">
        <f>IF(W9&lt;&gt;"",-(1-UnosPodataka!$M$10)*FinaIndicators!W17)</f>
        <v>0</v>
      </c>
      <c r="X27" s="2">
        <f>IF(X9&lt;&gt;"",-(1-UnosPodataka!$M$10)*FinaIndicators!X17)</f>
        <v>0</v>
      </c>
      <c r="Y27" s="2">
        <f>IF(Y9&lt;&gt;"",-(1-UnosPodataka!$M$10)*FinaIndicators!Y17)</f>
        <v>0</v>
      </c>
    </row>
    <row r="28" spans="1:25" x14ac:dyDescent="0.25">
      <c r="A28" s="75" t="s">
        <v>89</v>
      </c>
      <c r="B28" s="75"/>
      <c r="C28" s="75"/>
      <c r="D28" s="75"/>
      <c r="E28" s="35">
        <f>-E11-E12</f>
        <v>-218000</v>
      </c>
      <c r="F28" s="35">
        <f>IF(F9&lt;&gt;"",SUM(F21:F27),"")</f>
        <v>-64398.329284091415</v>
      </c>
      <c r="G28" s="35">
        <f t="shared" ref="G28:Y28" si="1">IF(G9&lt;&gt;"",SUM(G21:G27),"")</f>
        <v>-64398.329284091415</v>
      </c>
      <c r="H28" s="35">
        <f t="shared" si="1"/>
        <v>-64398.329284091415</v>
      </c>
      <c r="I28" s="35">
        <f t="shared" si="1"/>
        <v>-64398.329284091415</v>
      </c>
      <c r="J28" s="35">
        <f t="shared" si="1"/>
        <v>-64398.329284091415</v>
      </c>
      <c r="K28" s="35">
        <f t="shared" si="1"/>
        <v>-64398.329284091415</v>
      </c>
      <c r="L28" s="35">
        <f t="shared" si="1"/>
        <v>-64398.329284091415</v>
      </c>
      <c r="M28" s="35">
        <f t="shared" si="1"/>
        <v>-64398.329284091415</v>
      </c>
      <c r="N28" s="35">
        <f t="shared" si="1"/>
        <v>-29572.93772593957</v>
      </c>
      <c r="O28" s="35">
        <f t="shared" si="1"/>
        <v>-29572.93772593957</v>
      </c>
      <c r="P28" s="35">
        <f t="shared" si="1"/>
        <v>-29572.93772593957</v>
      </c>
      <c r="Q28" s="35">
        <f t="shared" si="1"/>
        <v>-29572.93772593957</v>
      </c>
      <c r="R28" s="35">
        <f t="shared" si="1"/>
        <v>-29572.93772593957</v>
      </c>
      <c r="S28" s="35">
        <f t="shared" si="1"/>
        <v>-29572.93772593957</v>
      </c>
      <c r="T28" s="35">
        <f t="shared" si="1"/>
        <v>-29572.93772593957</v>
      </c>
      <c r="U28" s="35">
        <f t="shared" si="1"/>
        <v>-29572.93772593957</v>
      </c>
      <c r="V28" s="35">
        <f t="shared" si="1"/>
        <v>-29572.93772593957</v>
      </c>
      <c r="W28" s="35">
        <f t="shared" si="1"/>
        <v>-29572.93772593957</v>
      </c>
      <c r="X28" s="35">
        <f t="shared" si="1"/>
        <v>-29572.93772593957</v>
      </c>
      <c r="Y28" s="35">
        <f t="shared" si="1"/>
        <v>-29572.93772593957</v>
      </c>
    </row>
    <row r="30" spans="1:25" x14ac:dyDescent="0.25">
      <c r="A30" t="s">
        <v>156</v>
      </c>
      <c r="E30" s="2">
        <f>-E28</f>
        <v>218000</v>
      </c>
      <c r="F30" s="2">
        <f>+F28-F26-F33</f>
        <v>-54280.663026673777</v>
      </c>
      <c r="G30" s="2">
        <f t="shared" ref="G30:Y30" si="2">+G28-G26-G33</f>
        <v>-54533.840074720501</v>
      </c>
      <c r="H30" s="2">
        <f t="shared" si="2"/>
        <v>-54817.398368532849</v>
      </c>
      <c r="I30" s="2">
        <f t="shared" si="2"/>
        <v>-55134.983657602672</v>
      </c>
      <c r="J30" s="2">
        <f t="shared" si="2"/>
        <v>-55490.679181360872</v>
      </c>
      <c r="K30" s="2">
        <f t="shared" si="2"/>
        <v>-55889.058167970055</v>
      </c>
      <c r="L30" s="2">
        <f t="shared" si="2"/>
        <v>-56335.242632972338</v>
      </c>
      <c r="M30" s="2">
        <f t="shared" si="2"/>
        <v>-56834.9692337749</v>
      </c>
      <c r="N30" s="2">
        <f t="shared" si="2"/>
        <v>-22569.271468521929</v>
      </c>
      <c r="O30" s="2">
        <f t="shared" si="2"/>
        <v>-22569.271468521929</v>
      </c>
      <c r="P30" s="2">
        <f t="shared" si="2"/>
        <v>-22569.271468521929</v>
      </c>
      <c r="Q30" s="2">
        <f t="shared" si="2"/>
        <v>-22569.271468521929</v>
      </c>
      <c r="R30" s="2">
        <f t="shared" si="2"/>
        <v>-22569.271468521929</v>
      </c>
      <c r="S30" s="2">
        <f t="shared" si="2"/>
        <v>-22569.271468521929</v>
      </c>
      <c r="T30" s="2">
        <f t="shared" si="2"/>
        <v>-22569.271468521929</v>
      </c>
      <c r="U30" s="2">
        <f t="shared" si="2"/>
        <v>-22569.271468521929</v>
      </c>
      <c r="V30" s="2">
        <f t="shared" si="2"/>
        <v>-22569.271468521929</v>
      </c>
      <c r="W30" s="2">
        <f t="shared" si="2"/>
        <v>-22569.271468521929</v>
      </c>
      <c r="X30" s="2">
        <f t="shared" si="2"/>
        <v>-22569.271468521929</v>
      </c>
      <c r="Y30" s="2">
        <f t="shared" si="2"/>
        <v>-22569.271468521929</v>
      </c>
    </row>
    <row r="31" spans="1:25" x14ac:dyDescent="0.25">
      <c r="A31" s="63" t="s">
        <v>157</v>
      </c>
      <c r="B31" s="63"/>
      <c r="C31" s="63"/>
      <c r="D31" s="63"/>
      <c r="F31" s="2">
        <f>IF(F9&lt;&gt;"",F18+F28-F22,"")</f>
        <v>77882.224950549062</v>
      </c>
      <c r="G31" s="2">
        <f t="shared" ref="G31:Y31" si="3">IF(G9&lt;&gt;"",G18+G28-G22,"")</f>
        <v>79570.071937527275</v>
      </c>
      <c r="H31" s="2">
        <f t="shared" si="3"/>
        <v>81460.460562942899</v>
      </c>
      <c r="I31" s="2">
        <f t="shared" si="3"/>
        <v>83577.695823408372</v>
      </c>
      <c r="J31" s="2">
        <f t="shared" si="3"/>
        <v>85948.999315129709</v>
      </c>
      <c r="K31" s="2">
        <f t="shared" si="3"/>
        <v>88604.85922585761</v>
      </c>
      <c r="L31" s="2">
        <f t="shared" si="3"/>
        <v>91579.422325872845</v>
      </c>
      <c r="M31" s="2">
        <f t="shared" si="3"/>
        <v>94910.932997889933</v>
      </c>
      <c r="N31" s="2">
        <f t="shared" si="3"/>
        <v>98642.224950549062</v>
      </c>
      <c r="O31" s="2">
        <f t="shared" si="3"/>
        <v>98642.224950549062</v>
      </c>
      <c r="P31" s="2">
        <f t="shared" si="3"/>
        <v>98642.224950549062</v>
      </c>
      <c r="Q31" s="2">
        <f t="shared" si="3"/>
        <v>98642.224950549062</v>
      </c>
      <c r="R31" s="2">
        <f t="shared" si="3"/>
        <v>98642.224950549062</v>
      </c>
      <c r="S31" s="2">
        <f t="shared" si="3"/>
        <v>98642.224950549062</v>
      </c>
      <c r="T31" s="2">
        <f t="shared" si="3"/>
        <v>98642.224950549062</v>
      </c>
      <c r="U31" s="2">
        <f t="shared" si="3"/>
        <v>98642.224950549062</v>
      </c>
      <c r="V31" s="2">
        <f t="shared" si="3"/>
        <v>98642.224950549062</v>
      </c>
      <c r="W31" s="2">
        <f t="shared" si="3"/>
        <v>98642.224950549062</v>
      </c>
      <c r="X31" s="2">
        <f t="shared" si="3"/>
        <v>98642.224950549062</v>
      </c>
      <c r="Y31" s="2">
        <f t="shared" si="3"/>
        <v>98642.224950549062</v>
      </c>
    </row>
    <row r="32" spans="1:25" x14ac:dyDescent="0.25">
      <c r="A32" s="74"/>
      <c r="B32" s="74"/>
      <c r="C32" s="74"/>
      <c r="D32" s="74"/>
    </row>
    <row r="33" spans="1:25" x14ac:dyDescent="0.25">
      <c r="A33" s="70" t="s">
        <v>90</v>
      </c>
      <c r="B33" s="70"/>
      <c r="C33" s="70"/>
      <c r="D33" s="70"/>
      <c r="F33" s="2">
        <f>IF(F9&lt;&gt;"",IF(F31&gt;0,F31*VAT,0),"")</f>
        <v>11682.333742582359</v>
      </c>
      <c r="G33" s="2">
        <f t="shared" ref="G33:Y33" si="4">IF(G9&lt;&gt;"",IF(G31&gt;0,G31*VAT,0),"")</f>
        <v>11935.51079062909</v>
      </c>
      <c r="H33" s="2">
        <f t="shared" si="4"/>
        <v>12219.069084441435</v>
      </c>
      <c r="I33" s="2">
        <f t="shared" si="4"/>
        <v>12536.654373511255</v>
      </c>
      <c r="J33" s="2">
        <f t="shared" si="4"/>
        <v>12892.349897269456</v>
      </c>
      <c r="K33" s="2">
        <f t="shared" si="4"/>
        <v>13290.728883878641</v>
      </c>
      <c r="L33" s="2">
        <f t="shared" si="4"/>
        <v>13736.913348880926</v>
      </c>
      <c r="M33" s="2">
        <f t="shared" si="4"/>
        <v>14236.639949683489</v>
      </c>
      <c r="N33" s="2">
        <f t="shared" si="4"/>
        <v>14796.333742582359</v>
      </c>
      <c r="O33" s="2">
        <f t="shared" si="4"/>
        <v>14796.333742582359</v>
      </c>
      <c r="P33" s="2">
        <f t="shared" si="4"/>
        <v>14796.333742582359</v>
      </c>
      <c r="Q33" s="2">
        <f t="shared" si="4"/>
        <v>14796.333742582359</v>
      </c>
      <c r="R33" s="2">
        <f t="shared" si="4"/>
        <v>14796.333742582359</v>
      </c>
      <c r="S33" s="2">
        <f t="shared" si="4"/>
        <v>14796.333742582359</v>
      </c>
      <c r="T33" s="2">
        <f t="shared" si="4"/>
        <v>14796.333742582359</v>
      </c>
      <c r="U33" s="2">
        <f t="shared" si="4"/>
        <v>14796.333742582359</v>
      </c>
      <c r="V33" s="2">
        <f t="shared" si="4"/>
        <v>14796.333742582359</v>
      </c>
      <c r="W33" s="2">
        <f t="shared" si="4"/>
        <v>14796.333742582359</v>
      </c>
      <c r="X33" s="2">
        <f t="shared" si="4"/>
        <v>14796.333742582359</v>
      </c>
      <c r="Y33" s="2">
        <f t="shared" si="4"/>
        <v>14796.333742582359</v>
      </c>
    </row>
    <row r="34" spans="1:25" x14ac:dyDescent="0.25">
      <c r="A34" s="63" t="s">
        <v>91</v>
      </c>
      <c r="B34" s="63"/>
      <c r="C34" s="63"/>
      <c r="D34" s="63"/>
      <c r="E34" s="35"/>
      <c r="F34" s="35">
        <f>IF(F9&lt;&gt;"",F31-F33,"")</f>
        <v>66199.891207966706</v>
      </c>
      <c r="G34" s="35">
        <f t="shared" ref="G34:Y34" si="5">IF(G9&lt;&gt;"",G31-G33,"")</f>
        <v>67634.561146898181</v>
      </c>
      <c r="H34" s="35">
        <f t="shared" si="5"/>
        <v>69241.391478501464</v>
      </c>
      <c r="I34" s="35">
        <f t="shared" si="5"/>
        <v>71041.041449897122</v>
      </c>
      <c r="J34" s="35">
        <f t="shared" si="5"/>
        <v>73056.649417860259</v>
      </c>
      <c r="K34" s="35">
        <f t="shared" si="5"/>
        <v>75314.130341978977</v>
      </c>
      <c r="L34" s="35">
        <f t="shared" si="5"/>
        <v>77842.508976991914</v>
      </c>
      <c r="M34" s="35">
        <f t="shared" si="5"/>
        <v>80674.29304820644</v>
      </c>
      <c r="N34" s="35">
        <f t="shared" si="5"/>
        <v>83845.891207966706</v>
      </c>
      <c r="O34" s="35">
        <f t="shared" si="5"/>
        <v>83845.891207966706</v>
      </c>
      <c r="P34" s="35">
        <f t="shared" si="5"/>
        <v>83845.891207966706</v>
      </c>
      <c r="Q34" s="35">
        <f t="shared" si="5"/>
        <v>83845.891207966706</v>
      </c>
      <c r="R34" s="35">
        <f t="shared" si="5"/>
        <v>83845.891207966706</v>
      </c>
      <c r="S34" s="35">
        <f t="shared" si="5"/>
        <v>83845.891207966706</v>
      </c>
      <c r="T34" s="35">
        <f t="shared" si="5"/>
        <v>83845.891207966706</v>
      </c>
      <c r="U34" s="35">
        <f t="shared" si="5"/>
        <v>83845.891207966706</v>
      </c>
      <c r="V34" s="35">
        <f t="shared" si="5"/>
        <v>83845.891207966706</v>
      </c>
      <c r="W34" s="35">
        <f t="shared" si="5"/>
        <v>83845.891207966706</v>
      </c>
      <c r="X34" s="35">
        <f t="shared" si="5"/>
        <v>83845.891207966706</v>
      </c>
      <c r="Y34" s="35">
        <f t="shared" si="5"/>
        <v>83845.891207966706</v>
      </c>
    </row>
    <row r="36" spans="1:25" x14ac:dyDescent="0.25">
      <c r="A36" s="39" t="s">
        <v>166</v>
      </c>
      <c r="E36" s="2">
        <f>-SUM(E11:E13)</f>
        <v>-218000</v>
      </c>
      <c r="F36" s="2">
        <f>+F34+F22-F26</f>
        <v>73934.499649814854</v>
      </c>
      <c r="G36" s="2">
        <f t="shared" ref="G36:Y36" si="6">+G34+G22-G26</f>
        <v>73681.322601768115</v>
      </c>
      <c r="H36" s="2">
        <f t="shared" si="6"/>
        <v>73397.764307955789</v>
      </c>
      <c r="I36" s="2">
        <f t="shared" si="6"/>
        <v>73080.179018885974</v>
      </c>
      <c r="J36" s="2">
        <f t="shared" si="6"/>
        <v>72724.483495127773</v>
      </c>
      <c r="K36" s="2">
        <f t="shared" si="6"/>
        <v>72326.104508518591</v>
      </c>
      <c r="L36" s="2">
        <f t="shared" si="6"/>
        <v>71879.920043516278</v>
      </c>
      <c r="M36" s="2">
        <f t="shared" si="6"/>
        <v>71380.193442713731</v>
      </c>
      <c r="N36" s="2">
        <f>+N34+N22-N26</f>
        <v>105645.89120796671</v>
      </c>
      <c r="O36" s="2">
        <f t="shared" si="6"/>
        <v>105645.89120796671</v>
      </c>
      <c r="P36" s="2">
        <f t="shared" si="6"/>
        <v>105645.89120796671</v>
      </c>
      <c r="Q36" s="2">
        <f t="shared" si="6"/>
        <v>105645.89120796671</v>
      </c>
      <c r="R36" s="2">
        <f t="shared" si="6"/>
        <v>105645.89120796671</v>
      </c>
      <c r="S36" s="2">
        <f t="shared" si="6"/>
        <v>105645.89120796671</v>
      </c>
      <c r="T36" s="2">
        <f t="shared" si="6"/>
        <v>105645.89120796671</v>
      </c>
      <c r="U36" s="2">
        <f t="shared" si="6"/>
        <v>105645.89120796671</v>
      </c>
      <c r="V36" s="2">
        <f t="shared" si="6"/>
        <v>105645.89120796671</v>
      </c>
      <c r="W36" s="2">
        <f t="shared" si="6"/>
        <v>105645.89120796671</v>
      </c>
      <c r="X36" s="2">
        <f t="shared" si="6"/>
        <v>105645.89120796671</v>
      </c>
      <c r="Y36" s="2">
        <f t="shared" si="6"/>
        <v>105645.89120796671</v>
      </c>
    </row>
    <row r="37" spans="1:25" x14ac:dyDescent="0.25">
      <c r="A37" s="39" t="s">
        <v>167</v>
      </c>
      <c r="E37" s="2">
        <f>+E36</f>
        <v>-218000</v>
      </c>
      <c r="F37" s="2">
        <f>+E37+F36</f>
        <v>-144065.50035018515</v>
      </c>
      <c r="G37" s="2">
        <f t="shared" ref="G37:Y37" si="7">+F37+G36</f>
        <v>-70384.177748417031</v>
      </c>
      <c r="H37" s="2">
        <f t="shared" si="7"/>
        <v>3013.5865595387586</v>
      </c>
      <c r="I37" s="2">
        <f t="shared" si="7"/>
        <v>76093.765578424733</v>
      </c>
      <c r="J37" s="2">
        <f t="shared" si="7"/>
        <v>148818.24907355249</v>
      </c>
      <c r="K37" s="2">
        <f t="shared" si="7"/>
        <v>221144.35358207108</v>
      </c>
      <c r="L37" s="2">
        <f t="shared" si="7"/>
        <v>293024.27362558735</v>
      </c>
      <c r="M37" s="2">
        <f t="shared" si="7"/>
        <v>364404.46706830105</v>
      </c>
      <c r="N37" s="2">
        <f t="shared" si="7"/>
        <v>470050.35827626777</v>
      </c>
      <c r="O37" s="2">
        <f t="shared" si="7"/>
        <v>575696.24948423449</v>
      </c>
      <c r="P37" s="2">
        <f t="shared" si="7"/>
        <v>681342.14069220121</v>
      </c>
      <c r="Q37" s="2">
        <f t="shared" si="7"/>
        <v>786988.03190016793</v>
      </c>
      <c r="R37" s="2">
        <f t="shared" si="7"/>
        <v>892633.92310813465</v>
      </c>
      <c r="S37" s="2">
        <f t="shared" si="7"/>
        <v>998279.81431610137</v>
      </c>
      <c r="T37" s="2">
        <f t="shared" si="7"/>
        <v>1103925.7055240681</v>
      </c>
      <c r="U37" s="2">
        <f t="shared" si="7"/>
        <v>1209571.5967320348</v>
      </c>
      <c r="V37" s="2">
        <f t="shared" si="7"/>
        <v>1315217.4879400015</v>
      </c>
      <c r="W37" s="2">
        <f t="shared" si="7"/>
        <v>1420863.3791479683</v>
      </c>
      <c r="X37" s="2">
        <f t="shared" si="7"/>
        <v>1526509.270355935</v>
      </c>
      <c r="Y37" s="2">
        <f t="shared" si="7"/>
        <v>1632155.1615639017</v>
      </c>
    </row>
    <row r="38" spans="1:25" x14ac:dyDescent="0.25">
      <c r="A38" s="15"/>
    </row>
    <row r="39" spans="1:25" x14ac:dyDescent="0.25">
      <c r="A39" s="39" t="s">
        <v>64</v>
      </c>
      <c r="E39" s="6">
        <f>+PomTab1!L25</f>
        <v>7.1036238532110094E-2</v>
      </c>
    </row>
    <row r="40" spans="1:25" x14ac:dyDescent="0.25">
      <c r="A40" s="39" t="s">
        <v>168</v>
      </c>
      <c r="E40" s="2">
        <f>IF(E9&lt;&gt;"",E36*(1+$E$39)^-E9,"")</f>
        <v>-218000</v>
      </c>
      <c r="F40" s="2">
        <f>IF(F9&lt;&gt;"",F36*(1+$E$39)^-F9,"")</f>
        <v>69030.810527143767</v>
      </c>
      <c r="G40" s="2">
        <f t="shared" ref="G40:Y40" si="8">IF(G9&lt;&gt;"",G36*(1+$E$39)^-G9,"")</f>
        <v>64231.65054094154</v>
      </c>
      <c r="H40" s="2">
        <f t="shared" si="8"/>
        <v>59740.703871346428</v>
      </c>
      <c r="I40" s="2">
        <f t="shared" si="8"/>
        <v>55537.067067064316</v>
      </c>
      <c r="J40" s="2">
        <f t="shared" si="8"/>
        <v>51601.202005891755</v>
      </c>
      <c r="K40" s="2">
        <f t="shared" si="8"/>
        <v>47914.844375522494</v>
      </c>
      <c r="L40" s="2">
        <f t="shared" si="8"/>
        <v>44460.918180271285</v>
      </c>
      <c r="M40" s="2">
        <f t="shared" si="8"/>
        <v>41223.455872032704</v>
      </c>
      <c r="N40" s="2">
        <f t="shared" si="8"/>
        <v>56965.920848708207</v>
      </c>
      <c r="O40" s="2">
        <f t="shared" si="8"/>
        <v>53187.66891284821</v>
      </c>
      <c r="P40" s="2">
        <f t="shared" si="8"/>
        <v>49660.008690036142</v>
      </c>
      <c r="Q40" s="2">
        <f t="shared" si="8"/>
        <v>46366.319741054504</v>
      </c>
      <c r="R40" s="2">
        <f t="shared" si="8"/>
        <v>43291.083973592766</v>
      </c>
      <c r="S40" s="2">
        <f t="shared" si="8"/>
        <v>40419.812529335693</v>
      </c>
      <c r="T40" s="2">
        <f t="shared" si="8"/>
        <v>37738.977520249318</v>
      </c>
      <c r="U40" s="2">
        <f t="shared" si="8"/>
        <v>35235.948292442292</v>
      </c>
      <c r="V40" s="2">
        <f t="shared" si="8"/>
        <v>32898.931917312439</v>
      </c>
      <c r="W40" s="2">
        <f t="shared" si="8"/>
        <v>30716.917629604661</v>
      </c>
      <c r="X40" s="2">
        <f t="shared" si="8"/>
        <v>28679.624950602214</v>
      </c>
      <c r="Y40" s="2">
        <f t="shared" si="8"/>
        <v>26777.45525203571</v>
      </c>
    </row>
    <row r="41" spans="1:25" x14ac:dyDescent="0.25">
      <c r="A41" s="39" t="s">
        <v>169</v>
      </c>
      <c r="E41" s="2">
        <f>+E40</f>
        <v>-218000</v>
      </c>
      <c r="F41" s="2">
        <f>+E41+F40</f>
        <v>-148969.18947285623</v>
      </c>
      <c r="G41" s="2">
        <f t="shared" ref="G41:Y41" si="9">+F41+G40</f>
        <v>-84737.538931914693</v>
      </c>
      <c r="H41" s="2">
        <f t="shared" si="9"/>
        <v>-24996.835060568264</v>
      </c>
      <c r="I41" s="2">
        <f t="shared" si="9"/>
        <v>30540.232006496051</v>
      </c>
      <c r="J41" s="2">
        <f t="shared" si="9"/>
        <v>82141.434012387806</v>
      </c>
      <c r="K41" s="2">
        <f t="shared" si="9"/>
        <v>130056.27838791031</v>
      </c>
      <c r="L41" s="2">
        <f t="shared" si="9"/>
        <v>174517.19656818159</v>
      </c>
      <c r="M41" s="2">
        <f t="shared" si="9"/>
        <v>215740.6524402143</v>
      </c>
      <c r="N41" s="2">
        <f t="shared" si="9"/>
        <v>272706.57328892249</v>
      </c>
      <c r="O41" s="2">
        <f t="shared" si="9"/>
        <v>325894.24220177071</v>
      </c>
      <c r="P41" s="2">
        <f t="shared" si="9"/>
        <v>375554.25089180685</v>
      </c>
      <c r="Q41" s="2">
        <f t="shared" si="9"/>
        <v>421920.57063286135</v>
      </c>
      <c r="R41" s="2">
        <f t="shared" si="9"/>
        <v>465211.65460645413</v>
      </c>
      <c r="S41" s="2">
        <f t="shared" si="9"/>
        <v>505631.4671357898</v>
      </c>
      <c r="T41" s="2">
        <f t="shared" si="9"/>
        <v>543370.44465603912</v>
      </c>
      <c r="U41" s="2">
        <f t="shared" si="9"/>
        <v>578606.39294848137</v>
      </c>
      <c r="V41" s="2">
        <f t="shared" si="9"/>
        <v>611505.32486579381</v>
      </c>
      <c r="W41" s="2">
        <f t="shared" si="9"/>
        <v>642222.2424953985</v>
      </c>
      <c r="X41" s="2">
        <f t="shared" si="9"/>
        <v>670901.86744600069</v>
      </c>
      <c r="Y41" s="2">
        <f t="shared" si="9"/>
        <v>697679.32269803644</v>
      </c>
    </row>
    <row r="42" spans="1:25" x14ac:dyDescent="0.25">
      <c r="A42" s="39"/>
    </row>
    <row r="43" spans="1:25" x14ac:dyDescent="0.25">
      <c r="A43" s="40" t="s">
        <v>170</v>
      </c>
      <c r="B43" s="37"/>
      <c r="C43" s="37"/>
      <c r="D43" s="37"/>
      <c r="E43" s="41">
        <f>+NPV(E39,E36:Y36)</f>
        <v>651405.89795003412</v>
      </c>
      <c r="F43" s="42"/>
    </row>
    <row r="44" spans="1:25" x14ac:dyDescent="0.25">
      <c r="A44" s="40" t="s">
        <v>171</v>
      </c>
      <c r="B44" s="37"/>
      <c r="C44" s="37"/>
      <c r="D44" s="37"/>
      <c r="E44" s="43">
        <f>+IRR(E36:Y36,10%)</f>
        <v>0.34859553344467153</v>
      </c>
      <c r="F44" s="37"/>
    </row>
    <row r="45" spans="1:25" x14ac:dyDescent="0.25">
      <c r="A45" s="40" t="s">
        <v>172</v>
      </c>
      <c r="B45" s="37"/>
      <c r="C45" s="37"/>
      <c r="D45" s="37"/>
      <c r="E45" s="41" cm="1">
        <f t="array" ref="E45">+NPV(E39,F18:Y18/-NPV(E39,E30:Y30))</f>
        <v>6.7512242805096152</v>
      </c>
      <c r="F45" s="37"/>
    </row>
    <row r="46" spans="1:25" x14ac:dyDescent="0.25">
      <c r="A46" s="40" t="s">
        <v>173</v>
      </c>
      <c r="B46" s="37"/>
      <c r="C46" s="37"/>
      <c r="D46" s="37"/>
      <c r="E46" s="50" cm="1">
        <f t="array" ref="E46">+LOOKUP(INDEX(E37:Y37,MATCH(TRUE,E37:Y37&gt;0,0)),E37:Y37,E9:Y9)</f>
        <v>3</v>
      </c>
      <c r="F46" s="37" t="s">
        <v>175</v>
      </c>
    </row>
    <row r="47" spans="1:25" x14ac:dyDescent="0.25">
      <c r="A47" s="40" t="s">
        <v>174</v>
      </c>
      <c r="B47" s="37"/>
      <c r="C47" s="37"/>
      <c r="D47" s="37"/>
      <c r="E47" s="50" t="str">
        <f>IF(F22="",0,IF(F9&gt;UnosPodataka!$M$26,"",VLOOKUP(F9,Anuiteti!$B$13:$E$32,4,FALSE)+VLOOKUP(F9,Anuiteti!$B$13:$E$32,3,FALSE)))</f>
        <v/>
      </c>
      <c r="F47" s="37" t="s">
        <v>175</v>
      </c>
    </row>
    <row r="50" spans="1:26" x14ac:dyDescent="0.25">
      <c r="A50" s="70" t="s">
        <v>158</v>
      </c>
      <c r="B50" s="70"/>
      <c r="C50" s="70"/>
      <c r="D50" s="70"/>
      <c r="E50" s="2">
        <f t="shared" ref="E50:Y50" si="10">IF(E9&lt;&gt;"",E28,"")</f>
        <v>-218000</v>
      </c>
      <c r="F50" s="2">
        <f t="shared" si="10"/>
        <v>-64398.329284091415</v>
      </c>
      <c r="G50" s="2">
        <f t="shared" si="10"/>
        <v>-64398.329284091415</v>
      </c>
      <c r="H50" s="2">
        <f t="shared" si="10"/>
        <v>-64398.329284091415</v>
      </c>
      <c r="I50" s="2">
        <f t="shared" si="10"/>
        <v>-64398.329284091415</v>
      </c>
      <c r="J50" s="2">
        <f t="shared" si="10"/>
        <v>-64398.329284091415</v>
      </c>
      <c r="K50" s="2">
        <f t="shared" si="10"/>
        <v>-64398.329284091415</v>
      </c>
      <c r="L50" s="2">
        <f t="shared" si="10"/>
        <v>-64398.329284091415</v>
      </c>
      <c r="M50" s="2">
        <f t="shared" si="10"/>
        <v>-64398.329284091415</v>
      </c>
      <c r="N50" s="2">
        <f t="shared" si="10"/>
        <v>-29572.93772593957</v>
      </c>
      <c r="O50" s="2">
        <f t="shared" si="10"/>
        <v>-29572.93772593957</v>
      </c>
      <c r="P50" s="2">
        <f t="shared" si="10"/>
        <v>-29572.93772593957</v>
      </c>
      <c r="Q50" s="2">
        <f t="shared" si="10"/>
        <v>-29572.93772593957</v>
      </c>
      <c r="R50" s="2">
        <f t="shared" si="10"/>
        <v>-29572.93772593957</v>
      </c>
      <c r="S50" s="2">
        <f t="shared" si="10"/>
        <v>-29572.93772593957</v>
      </c>
      <c r="T50" s="2">
        <f t="shared" si="10"/>
        <v>-29572.93772593957</v>
      </c>
      <c r="U50" s="2">
        <f t="shared" si="10"/>
        <v>-29572.93772593957</v>
      </c>
      <c r="V50" s="2">
        <f t="shared" si="10"/>
        <v>-29572.93772593957</v>
      </c>
      <c r="W50" s="2">
        <f t="shared" si="10"/>
        <v>-29572.93772593957</v>
      </c>
      <c r="X50" s="2">
        <f t="shared" si="10"/>
        <v>-29572.93772593957</v>
      </c>
      <c r="Y50" s="2">
        <f t="shared" si="10"/>
        <v>-29572.93772593957</v>
      </c>
      <c r="Z50" s="2"/>
    </row>
    <row r="51" spans="1:26" x14ac:dyDescent="0.25">
      <c r="A51" s="70" t="s">
        <v>159</v>
      </c>
      <c r="B51" s="70"/>
      <c r="C51" s="70"/>
      <c r="D51" s="70"/>
      <c r="E51" s="2">
        <f>IF(E9&lt;&gt;"",E50*(1+$E$39)^-FinaIndicators!E9,"")</f>
        <v>-218000</v>
      </c>
      <c r="F51" s="2">
        <f>IF(F9&lt;&gt;"",F50*(1+$E$39)^-FinaIndicators!F9,"")</f>
        <v>-60127.124524144398</v>
      </c>
      <c r="G51" s="2">
        <f>IF(G9&lt;&gt;"",G50*(1+$E$39)^-FinaIndicators!G9,"")</f>
        <v>-56139.206462846269</v>
      </c>
      <c r="H51" s="2">
        <f>IF(H9&lt;&gt;"",H50*(1+$E$39)^-FinaIndicators!H9,"")</f>
        <v>-52415.786173385568</v>
      </c>
      <c r="I51" s="2">
        <f>IF(I9&lt;&gt;"",I50*(1+$E$39)^-FinaIndicators!I9,"")</f>
        <v>-48939.320900311563</v>
      </c>
      <c r="J51" s="2">
        <f>IF(J9&lt;&gt;"",J50*(1+$E$39)^-FinaIndicators!J9,"")</f>
        <v>-45693.431407497919</v>
      </c>
      <c r="K51" s="2">
        <f>IF(K9&lt;&gt;"",K50*(1+$E$39)^-FinaIndicators!K9,"")</f>
        <v>-42662.824807984318</v>
      </c>
      <c r="L51" s="2">
        <f>IF(L9&lt;&gt;"",L50*(1+$E$39)^-FinaIndicators!L9,"")</f>
        <v>-39833.222512111352</v>
      </c>
      <c r="M51" s="2">
        <f>IF(M9&lt;&gt;"",M50*(1+$E$39)^-FinaIndicators!M9,"")</f>
        <v>-37191.292954479366</v>
      </c>
      <c r="N51" s="2">
        <f>IF(N9&lt;&gt;"",N50*(1+$E$39)^-FinaIndicators!N9,"")</f>
        <v>-15946.191664410057</v>
      </c>
      <c r="O51" s="2">
        <f>IF(O9&lt;&gt;"",O50*(1+$E$39)^-FinaIndicators!O9,"")</f>
        <v>-14888.564075352695</v>
      </c>
      <c r="P51" s="2">
        <f>IF(P9&lt;&gt;"",P50*(1+$E$39)^-FinaIndicators!P9,"")</f>
        <v>-13901.083399155525</v>
      </c>
      <c r="Q51" s="2">
        <f>IF(Q9&lt;&gt;"",Q50*(1+$E$39)^-FinaIndicators!Q9,"")</f>
        <v>-12979.097157541009</v>
      </c>
      <c r="R51" s="2">
        <f>IF(R9&lt;&gt;"",R50*(1+$E$39)^-FinaIndicators!R9,"")</f>
        <v>-12118.261446810879</v>
      </c>
      <c r="S51" s="2">
        <f>IF(S9&lt;&gt;"",S50*(1+$E$39)^-FinaIndicators!S9,"")</f>
        <v>-11314.520471706306</v>
      </c>
      <c r="T51" s="2">
        <f>IF(T9&lt;&gt;"",T50*(1+$E$39)^-FinaIndicators!T9,"")</f>
        <v>-10564.08743668022</v>
      </c>
      <c r="U51" s="2">
        <f>IF(U9&lt;&gt;"",U50*(1+$E$39)^-FinaIndicators!U9,"")</f>
        <v>-9863.4267045517026</v>
      </c>
      <c r="V51" s="2">
        <f>IF(V9&lt;&gt;"",V50*(1+$E$39)^-FinaIndicators!V9,"")</f>
        <v>-9209.2371384836133</v>
      </c>
      <c r="W51" s="2">
        <f>IF(W9&lt;&gt;"",W50*(1+$E$39)^-FinaIndicators!W9,"")</f>
        <v>-8598.436548799853</v>
      </c>
      <c r="X51" s="2">
        <f>IF(X9&lt;&gt;"",X50*(1+$E$39)^-FinaIndicators!X9,"")</f>
        <v>-8028.1471713639548</v>
      </c>
      <c r="Y51" s="2">
        <f>IF(Y9&lt;&gt;"",Y50*(1+$E$39)^-FinaIndicators!Y9,"")</f>
        <v>-7495.6821091009888</v>
      </c>
      <c r="Z51" s="2"/>
    </row>
    <row r="52" spans="1:26" x14ac:dyDescent="0.25">
      <c r="A52" s="70" t="s">
        <v>160</v>
      </c>
      <c r="B52" s="70"/>
      <c r="C52" s="70"/>
      <c r="D52" s="70"/>
      <c r="E52" s="2">
        <f>-E11</f>
        <v>-173000</v>
      </c>
      <c r="F52" s="2">
        <f t="shared" ref="F52:Y52" si="11">IF(F9&lt;&gt;"",E52+F51,"")</f>
        <v>-233127.1245241444</v>
      </c>
      <c r="G52" s="2">
        <f t="shared" si="11"/>
        <v>-289266.33098699065</v>
      </c>
      <c r="H52" s="2">
        <f t="shared" si="11"/>
        <v>-341682.11716037622</v>
      </c>
      <c r="I52" s="2">
        <f t="shared" si="11"/>
        <v>-390621.4380606878</v>
      </c>
      <c r="J52" s="2">
        <f t="shared" si="11"/>
        <v>-436314.8694681857</v>
      </c>
      <c r="K52" s="2">
        <f t="shared" si="11"/>
        <v>-478977.69427616999</v>
      </c>
      <c r="L52" s="2">
        <f t="shared" si="11"/>
        <v>-518810.91678828135</v>
      </c>
      <c r="M52" s="2">
        <f t="shared" si="11"/>
        <v>-556002.20974276075</v>
      </c>
      <c r="N52" s="2">
        <f t="shared" si="11"/>
        <v>-571948.40140717081</v>
      </c>
      <c r="O52" s="2">
        <f t="shared" si="11"/>
        <v>-586836.96548252355</v>
      </c>
      <c r="P52" s="2">
        <f t="shared" si="11"/>
        <v>-600738.04888167907</v>
      </c>
      <c r="Q52" s="2">
        <f t="shared" si="11"/>
        <v>-613717.14603922004</v>
      </c>
      <c r="R52" s="2">
        <f t="shared" si="11"/>
        <v>-625835.40748603095</v>
      </c>
      <c r="S52" s="2">
        <f t="shared" si="11"/>
        <v>-637149.92795773724</v>
      </c>
      <c r="T52" s="2">
        <f t="shared" si="11"/>
        <v>-647714.01539441745</v>
      </c>
      <c r="U52" s="2">
        <f t="shared" si="11"/>
        <v>-657577.44209896913</v>
      </c>
      <c r="V52" s="2">
        <f t="shared" si="11"/>
        <v>-666786.67923745268</v>
      </c>
      <c r="W52" s="2">
        <f t="shared" si="11"/>
        <v>-675385.11578625254</v>
      </c>
      <c r="X52" s="2">
        <f t="shared" si="11"/>
        <v>-683413.26295761648</v>
      </c>
      <c r="Y52" s="2">
        <f t="shared" si="11"/>
        <v>-690908.94506671745</v>
      </c>
    </row>
    <row r="53" spans="1:26" x14ac:dyDescent="0.25">
      <c r="A53" s="70" t="s">
        <v>161</v>
      </c>
      <c r="B53" s="70"/>
      <c r="C53" s="70"/>
      <c r="D53" s="70"/>
      <c r="E53" s="2"/>
      <c r="F53" s="2">
        <f t="shared" ref="F53:Y53" si="12">IF(F9&lt;&gt;"",F18,"")</f>
        <v>128215.16267648863</v>
      </c>
      <c r="G53" s="2">
        <f t="shared" si="12"/>
        <v>128215.16267648863</v>
      </c>
      <c r="H53" s="2">
        <f t="shared" si="12"/>
        <v>128215.16267648863</v>
      </c>
      <c r="I53" s="2">
        <f t="shared" si="12"/>
        <v>128215.16267648863</v>
      </c>
      <c r="J53" s="2">
        <f t="shared" si="12"/>
        <v>128215.16267648863</v>
      </c>
      <c r="K53" s="2">
        <f t="shared" si="12"/>
        <v>128215.16267648863</v>
      </c>
      <c r="L53" s="2">
        <f t="shared" si="12"/>
        <v>128215.16267648863</v>
      </c>
      <c r="M53" s="2">
        <f t="shared" si="12"/>
        <v>128215.16267648863</v>
      </c>
      <c r="N53" s="2">
        <f t="shared" si="12"/>
        <v>128215.16267648863</v>
      </c>
      <c r="O53" s="2">
        <f t="shared" si="12"/>
        <v>128215.16267648863</v>
      </c>
      <c r="P53" s="2">
        <f t="shared" si="12"/>
        <v>128215.16267648863</v>
      </c>
      <c r="Q53" s="2">
        <f t="shared" si="12"/>
        <v>128215.16267648863</v>
      </c>
      <c r="R53" s="2">
        <f t="shared" si="12"/>
        <v>128215.16267648863</v>
      </c>
      <c r="S53" s="2">
        <f t="shared" si="12"/>
        <v>128215.16267648863</v>
      </c>
      <c r="T53" s="2">
        <f t="shared" si="12"/>
        <v>128215.16267648863</v>
      </c>
      <c r="U53" s="2">
        <f t="shared" si="12"/>
        <v>128215.16267648863</v>
      </c>
      <c r="V53" s="2">
        <f t="shared" si="12"/>
        <v>128215.16267648863</v>
      </c>
      <c r="W53" s="2">
        <f t="shared" si="12"/>
        <v>128215.16267648863</v>
      </c>
      <c r="X53" s="2">
        <f t="shared" si="12"/>
        <v>128215.16267648863</v>
      </c>
      <c r="Y53" s="2">
        <f t="shared" si="12"/>
        <v>128215.16267648863</v>
      </c>
    </row>
    <row r="54" spans="1:26" x14ac:dyDescent="0.25">
      <c r="A54" s="70" t="s">
        <v>162</v>
      </c>
      <c r="B54" s="70"/>
      <c r="C54" s="70"/>
      <c r="D54" s="70"/>
      <c r="F54" s="2">
        <f>IF(F9&lt;&gt;"",F53*(1+$E$39)^-F9,"")</f>
        <v>119711.32074131466</v>
      </c>
      <c r="G54" s="2">
        <f t="shared" ref="G54:Y54" si="13">IF(G9&lt;&gt;"",G53*(1+$E$39)^-G9,"")</f>
        <v>111771.49421702378</v>
      </c>
      <c r="H54" s="2">
        <f t="shared" si="13"/>
        <v>104358.27490786888</v>
      </c>
      <c r="I54" s="2">
        <f t="shared" si="13"/>
        <v>97436.735708303648</v>
      </c>
      <c r="J54" s="2">
        <f t="shared" si="13"/>
        <v>90974.266045230979</v>
      </c>
      <c r="K54" s="2">
        <f t="shared" si="13"/>
        <v>84940.418234507306</v>
      </c>
      <c r="L54" s="2">
        <f t="shared" si="13"/>
        <v>79306.76402781748</v>
      </c>
      <c r="M54" s="2">
        <f t="shared" si="13"/>
        <v>74046.760674045887</v>
      </c>
      <c r="N54" s="2">
        <f t="shared" si="13"/>
        <v>69135.625864097165</v>
      </c>
      <c r="O54" s="2">
        <f t="shared" si="13"/>
        <v>64550.220969973685</v>
      </c>
      <c r="P54" s="2">
        <f t="shared" si="13"/>
        <v>60268.942027995101</v>
      </c>
      <c r="Q54" s="2">
        <f t="shared" si="13"/>
        <v>56271.61795253132</v>
      </c>
      <c r="R54" s="2">
        <f t="shared" si="13"/>
        <v>52539.415500686882</v>
      </c>
      <c r="S54" s="2">
        <f t="shared" si="13"/>
        <v>49054.750540181398</v>
      </c>
      <c r="T54" s="2">
        <f t="shared" si="13"/>
        <v>45801.205202367863</v>
      </c>
      <c r="U54" s="2">
        <f t="shared" si="13"/>
        <v>42763.450530058537</v>
      </c>
      <c r="V54" s="2">
        <f t="shared" si="13"/>
        <v>39927.174255716345</v>
      </c>
      <c r="W54" s="2">
        <f t="shared" si="13"/>
        <v>37279.013369741653</v>
      </c>
      <c r="X54" s="2">
        <f t="shared" si="13"/>
        <v>34806.491161152248</v>
      </c>
      <c r="Y54" s="2">
        <f t="shared" si="13"/>
        <v>32497.958434026175</v>
      </c>
    </row>
    <row r="55" spans="1:26" x14ac:dyDescent="0.25">
      <c r="A55" s="70" t="s">
        <v>163</v>
      </c>
      <c r="B55" s="70"/>
      <c r="C55" s="70"/>
      <c r="D55" s="70"/>
      <c r="F55" s="2">
        <f>IF(F9&lt;&gt;"",E55+F54,"")</f>
        <v>119711.32074131466</v>
      </c>
      <c r="G55" s="2">
        <f>IF(G9&lt;&gt;"",F55+G54,"")</f>
        <v>231482.81495833845</v>
      </c>
      <c r="H55" s="2">
        <f t="shared" ref="H55:Y55" si="14">IF(H9&lt;&gt;"",G55+H54,"")</f>
        <v>335841.08986620733</v>
      </c>
      <c r="I55" s="2">
        <f t="shared" si="14"/>
        <v>433277.82557451096</v>
      </c>
      <c r="J55" s="2">
        <f t="shared" si="14"/>
        <v>524252.09161974193</v>
      </c>
      <c r="K55" s="2">
        <f t="shared" si="14"/>
        <v>609192.50985424919</v>
      </c>
      <c r="L55" s="2">
        <f t="shared" si="14"/>
        <v>688499.27388206671</v>
      </c>
      <c r="M55" s="2">
        <f t="shared" si="14"/>
        <v>762546.0345561126</v>
      </c>
      <c r="N55" s="2">
        <f t="shared" si="14"/>
        <v>831681.66042020975</v>
      </c>
      <c r="O55" s="2">
        <f t="shared" si="14"/>
        <v>896231.88139018347</v>
      </c>
      <c r="P55" s="2">
        <f t="shared" si="14"/>
        <v>956500.8234181786</v>
      </c>
      <c r="Q55" s="2">
        <f t="shared" si="14"/>
        <v>1012772.4413707099</v>
      </c>
      <c r="R55" s="2">
        <f t="shared" si="14"/>
        <v>1065311.8568713968</v>
      </c>
      <c r="S55" s="2">
        <f t="shared" si="14"/>
        <v>1114366.6074115781</v>
      </c>
      <c r="T55" s="2">
        <f t="shared" si="14"/>
        <v>1160167.8126139459</v>
      </c>
      <c r="U55" s="2">
        <f t="shared" si="14"/>
        <v>1202931.2631440044</v>
      </c>
      <c r="V55" s="2">
        <f t="shared" si="14"/>
        <v>1242858.4373997208</v>
      </c>
      <c r="W55" s="2">
        <f t="shared" si="14"/>
        <v>1280137.4507694624</v>
      </c>
      <c r="X55" s="2">
        <f t="shared" si="14"/>
        <v>1314943.9419306146</v>
      </c>
      <c r="Y55" s="2">
        <f t="shared" si="14"/>
        <v>1347441.9003646409</v>
      </c>
    </row>
    <row r="56" spans="1:26" x14ac:dyDescent="0.25">
      <c r="A56" s="70" t="s">
        <v>164</v>
      </c>
      <c r="B56" s="70"/>
      <c r="C56" s="70"/>
      <c r="D56" s="70"/>
      <c r="F56" s="2">
        <f>IF(F9&lt;&gt;"",F55+F52,"")</f>
        <v>-113415.80378282974</v>
      </c>
      <c r="G56" s="2">
        <f t="shared" ref="G56:Y56" si="15">IF(G9&lt;&gt;"",G55+G52,"")</f>
        <v>-57783.5160286522</v>
      </c>
      <c r="H56" s="2">
        <f t="shared" si="15"/>
        <v>-5841.0272941688891</v>
      </c>
      <c r="I56" s="2">
        <f t="shared" si="15"/>
        <v>42656.387513823167</v>
      </c>
      <c r="J56" s="2">
        <f t="shared" si="15"/>
        <v>87937.222151556227</v>
      </c>
      <c r="K56" s="2">
        <f t="shared" si="15"/>
        <v>130214.8155780792</v>
      </c>
      <c r="L56" s="2">
        <f t="shared" si="15"/>
        <v>169688.35709378537</v>
      </c>
      <c r="M56" s="2">
        <f t="shared" si="15"/>
        <v>206543.82481335185</v>
      </c>
      <c r="N56" s="2">
        <f t="shared" si="15"/>
        <v>259733.25901303894</v>
      </c>
      <c r="O56" s="2">
        <f t="shared" si="15"/>
        <v>309394.91590765992</v>
      </c>
      <c r="P56" s="2">
        <f t="shared" si="15"/>
        <v>355762.77453649952</v>
      </c>
      <c r="Q56" s="2">
        <f t="shared" si="15"/>
        <v>399055.29533148988</v>
      </c>
      <c r="R56" s="2">
        <f t="shared" si="15"/>
        <v>439476.44938536582</v>
      </c>
      <c r="S56" s="2">
        <f t="shared" si="15"/>
        <v>477216.67945384083</v>
      </c>
      <c r="T56" s="2">
        <f t="shared" si="15"/>
        <v>512453.79721952847</v>
      </c>
      <c r="U56" s="2">
        <f t="shared" si="15"/>
        <v>545353.82104503526</v>
      </c>
      <c r="V56" s="2">
        <f t="shared" si="15"/>
        <v>576071.75816226809</v>
      </c>
      <c r="W56" s="2">
        <f t="shared" si="15"/>
        <v>604752.33498320985</v>
      </c>
      <c r="X56" s="2">
        <f t="shared" si="15"/>
        <v>631530.67897299817</v>
      </c>
      <c r="Y56" s="2">
        <f t="shared" si="15"/>
        <v>656532.95529792341</v>
      </c>
    </row>
    <row r="57" spans="1:26" x14ac:dyDescent="0.25">
      <c r="A57" s="36" t="s">
        <v>165</v>
      </c>
      <c r="B57" s="36"/>
      <c r="C57" s="36"/>
      <c r="D57" s="36"/>
      <c r="E57" s="37"/>
      <c r="F57" s="3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9" spans="1:26" x14ac:dyDescent="0.25">
      <c r="A59" s="70" t="s">
        <v>92</v>
      </c>
      <c r="B59" s="70"/>
      <c r="C59" s="70"/>
      <c r="D59" s="70"/>
      <c r="E59" s="2">
        <f>E11</f>
        <v>173000</v>
      </c>
      <c r="F59" s="2">
        <f t="shared" ref="F59:Y59" si="16">IF(F9="",E59,-F52)</f>
        <v>233127.1245241444</v>
      </c>
      <c r="G59" s="2">
        <f t="shared" si="16"/>
        <v>289266.33098699065</v>
      </c>
      <c r="H59" s="2">
        <f t="shared" si="16"/>
        <v>341682.11716037622</v>
      </c>
      <c r="I59" s="2">
        <f t="shared" si="16"/>
        <v>390621.4380606878</v>
      </c>
      <c r="J59" s="2">
        <f t="shared" si="16"/>
        <v>436314.8694681857</v>
      </c>
      <c r="K59" s="2">
        <f t="shared" si="16"/>
        <v>478977.69427616999</v>
      </c>
      <c r="L59" s="2">
        <f t="shared" si="16"/>
        <v>518810.91678828135</v>
      </c>
      <c r="M59" s="2">
        <f t="shared" si="16"/>
        <v>556002.20974276075</v>
      </c>
      <c r="N59" s="2">
        <f t="shared" si="16"/>
        <v>571948.40140717081</v>
      </c>
      <c r="O59" s="2">
        <f t="shared" si="16"/>
        <v>586836.96548252355</v>
      </c>
      <c r="P59" s="2">
        <f t="shared" si="16"/>
        <v>600738.04888167907</v>
      </c>
      <c r="Q59" s="2">
        <f t="shared" si="16"/>
        <v>613717.14603922004</v>
      </c>
      <c r="R59" s="2">
        <f t="shared" si="16"/>
        <v>625835.40748603095</v>
      </c>
      <c r="S59" s="2">
        <f t="shared" si="16"/>
        <v>637149.92795773724</v>
      </c>
      <c r="T59" s="2">
        <f t="shared" si="16"/>
        <v>647714.01539441745</v>
      </c>
      <c r="U59" s="2">
        <f t="shared" si="16"/>
        <v>657577.44209896913</v>
      </c>
      <c r="V59" s="2">
        <f t="shared" si="16"/>
        <v>666786.67923745268</v>
      </c>
      <c r="W59" s="2">
        <f t="shared" si="16"/>
        <v>675385.11578625254</v>
      </c>
      <c r="X59" s="2">
        <f t="shared" si="16"/>
        <v>683413.26295761648</v>
      </c>
      <c r="Y59" s="2">
        <f t="shared" si="16"/>
        <v>690908.94506671745</v>
      </c>
    </row>
    <row r="60" spans="1:26" x14ac:dyDescent="0.25">
      <c r="A60" s="70" t="s">
        <v>93</v>
      </c>
      <c r="B60" s="70"/>
      <c r="C60" s="70"/>
      <c r="D60" s="70"/>
      <c r="F60" s="2">
        <f t="shared" ref="F60:Y60" si="17">IF(F9="",E60,F55)</f>
        <v>119711.32074131466</v>
      </c>
      <c r="G60" s="2">
        <f t="shared" si="17"/>
        <v>231482.81495833845</v>
      </c>
      <c r="H60" s="2">
        <f t="shared" si="17"/>
        <v>335841.08986620733</v>
      </c>
      <c r="I60" s="2">
        <f t="shared" si="17"/>
        <v>433277.82557451096</v>
      </c>
      <c r="J60" s="2">
        <f t="shared" si="17"/>
        <v>524252.09161974193</v>
      </c>
      <c r="K60" s="2">
        <f t="shared" si="17"/>
        <v>609192.50985424919</v>
      </c>
      <c r="L60" s="2">
        <f t="shared" si="17"/>
        <v>688499.27388206671</v>
      </c>
      <c r="M60" s="2">
        <f t="shared" si="17"/>
        <v>762546.0345561126</v>
      </c>
      <c r="N60" s="2">
        <f t="shared" si="17"/>
        <v>831681.66042020975</v>
      </c>
      <c r="O60" s="2">
        <f t="shared" si="17"/>
        <v>896231.88139018347</v>
      </c>
      <c r="P60" s="2">
        <f t="shared" si="17"/>
        <v>956500.8234181786</v>
      </c>
      <c r="Q60" s="2">
        <f t="shared" si="17"/>
        <v>1012772.4413707099</v>
      </c>
      <c r="R60" s="2">
        <f t="shared" si="17"/>
        <v>1065311.8568713968</v>
      </c>
      <c r="S60" s="2">
        <f t="shared" si="17"/>
        <v>1114366.6074115781</v>
      </c>
      <c r="T60" s="2">
        <f t="shared" si="17"/>
        <v>1160167.8126139459</v>
      </c>
      <c r="U60" s="2">
        <f t="shared" si="17"/>
        <v>1202931.2631440044</v>
      </c>
      <c r="V60" s="2">
        <f t="shared" si="17"/>
        <v>1242858.4373997208</v>
      </c>
      <c r="W60" s="2">
        <f t="shared" si="17"/>
        <v>1280137.4507694624</v>
      </c>
      <c r="X60" s="2">
        <f t="shared" si="17"/>
        <v>1314943.9419306146</v>
      </c>
      <c r="Y60" s="2">
        <f t="shared" si="17"/>
        <v>1347441.9003646409</v>
      </c>
    </row>
  </sheetData>
  <sheetProtection selectLockedCells="1"/>
  <mergeCells count="34">
    <mergeCell ref="N7:O7"/>
    <mergeCell ref="A27:D27"/>
    <mergeCell ref="A7:D7"/>
    <mergeCell ref="A9:D9"/>
    <mergeCell ref="A11:D11"/>
    <mergeCell ref="A12:D12"/>
    <mergeCell ref="A21:D21"/>
    <mergeCell ref="A24:D24"/>
    <mergeCell ref="A25:D25"/>
    <mergeCell ref="F3:I3"/>
    <mergeCell ref="A56:D56"/>
    <mergeCell ref="A59:D59"/>
    <mergeCell ref="I7:J7"/>
    <mergeCell ref="A51:D51"/>
    <mergeCell ref="A52:D52"/>
    <mergeCell ref="A53:D53"/>
    <mergeCell ref="A54:D54"/>
    <mergeCell ref="A31:D31"/>
    <mergeCell ref="A32:D32"/>
    <mergeCell ref="A33:D33"/>
    <mergeCell ref="A60:D60"/>
    <mergeCell ref="A28:D28"/>
    <mergeCell ref="A13:D13"/>
    <mergeCell ref="A17:D17"/>
    <mergeCell ref="A19:D19"/>
    <mergeCell ref="A14:D14"/>
    <mergeCell ref="A18:D18"/>
    <mergeCell ref="A23:D23"/>
    <mergeCell ref="A16:D16"/>
    <mergeCell ref="A20:D20"/>
    <mergeCell ref="A26:D26"/>
    <mergeCell ref="A55:D55"/>
    <mergeCell ref="A34:D34"/>
    <mergeCell ref="A50:D50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1"/>
  <sheetViews>
    <sheetView showZeros="0" topLeftCell="A6" zoomScale="80" zoomScaleNormal="80" workbookViewId="0">
      <selection activeCell="F18" sqref="F18"/>
    </sheetView>
  </sheetViews>
  <sheetFormatPr defaultRowHeight="15" x14ac:dyDescent="0.25"/>
  <cols>
    <col min="4" max="4" width="18.42578125" customWidth="1"/>
    <col min="5" max="5" width="12.7109375" customWidth="1"/>
    <col min="6" max="6" width="11.85546875" customWidth="1"/>
    <col min="7" max="7" width="11.28515625" customWidth="1"/>
    <col min="8" max="8" width="12.42578125" customWidth="1"/>
    <col min="9" max="9" width="12.570312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9" width="12" customWidth="1"/>
    <col min="20" max="20" width="11.28515625" customWidth="1"/>
    <col min="21" max="21" width="12.28515625" customWidth="1"/>
    <col min="22" max="22" width="11.7109375" customWidth="1"/>
    <col min="23" max="23" width="11.42578125" customWidth="1"/>
    <col min="24" max="24" width="12.7109375" customWidth="1"/>
    <col min="25" max="25" width="11.7109375" customWidth="1"/>
  </cols>
  <sheetData>
    <row r="3" spans="1:25" ht="16.5" x14ac:dyDescent="0.35">
      <c r="F3" s="60" t="s">
        <v>150</v>
      </c>
      <c r="G3" s="60"/>
      <c r="H3" s="60"/>
      <c r="I3" s="60"/>
    </row>
    <row r="7" spans="1:25" ht="21" x14ac:dyDescent="0.35">
      <c r="A7" s="78" t="s">
        <v>176</v>
      </c>
      <c r="B7" s="78"/>
      <c r="C7" s="78"/>
      <c r="D7" s="78"/>
      <c r="E7" s="72"/>
      <c r="I7" s="76" t="s">
        <v>129</v>
      </c>
      <c r="J7" s="76"/>
      <c r="N7" s="77" t="s">
        <v>130</v>
      </c>
      <c r="O7" s="77"/>
    </row>
    <row r="9" spans="1:25" x14ac:dyDescent="0.25">
      <c r="A9" s="63" t="s">
        <v>63</v>
      </c>
      <c r="B9" s="63"/>
      <c r="C9" s="63"/>
      <c r="D9" s="63"/>
      <c r="E9" s="13">
        <v>0</v>
      </c>
      <c r="F9" s="13">
        <v>1</v>
      </c>
      <c r="G9" s="13">
        <f>IF(F9&lt;UnosPodataka!$M$24,'FinInd+CO2'!F9+1,"")</f>
        <v>2</v>
      </c>
      <c r="H9" s="13">
        <f>IF(G9&lt;UnosPodataka!$M$24,'FinInd+CO2'!G9+1,"")</f>
        <v>3</v>
      </c>
      <c r="I9" s="13">
        <f>IF(H9&lt;UnosPodataka!$M$24,'FinInd+CO2'!H9+1,"")</f>
        <v>4</v>
      </c>
      <c r="J9" s="13">
        <f>IF(I9&lt;UnosPodataka!$M$24,'FinInd+CO2'!I9+1,"")</f>
        <v>5</v>
      </c>
      <c r="K9" s="13">
        <f>IF(J9&lt;UnosPodataka!$M$24,'FinInd+CO2'!J9+1,"")</f>
        <v>6</v>
      </c>
      <c r="L9" s="13">
        <f>IF(K9&lt;UnosPodataka!$M$24,'FinInd+CO2'!K9+1,"")</f>
        <v>7</v>
      </c>
      <c r="M9" s="13">
        <f>IF(L9&lt;UnosPodataka!$M$24,'FinInd+CO2'!L9+1,"")</f>
        <v>8</v>
      </c>
      <c r="N9" s="13">
        <f>IF(M9&lt;UnosPodataka!$M$24,'FinInd+CO2'!M9+1,"")</f>
        <v>9</v>
      </c>
      <c r="O9" s="13">
        <f>IF(N9&lt;UnosPodataka!$M$24,'FinInd+CO2'!N9+1,"")</f>
        <v>10</v>
      </c>
      <c r="P9" s="13">
        <f>IF(O9&lt;UnosPodataka!$M$24,'FinInd+CO2'!O9+1,"")</f>
        <v>11</v>
      </c>
      <c r="Q9" s="13">
        <f>IF(P9&lt;UnosPodataka!$M$24,'FinInd+CO2'!P9+1,"")</f>
        <v>12</v>
      </c>
      <c r="R9" s="13">
        <f>IF(Q9&lt;UnosPodataka!$M$24,'FinInd+CO2'!Q9+1,"")</f>
        <v>13</v>
      </c>
      <c r="S9" s="13">
        <f>IF(R9&lt;UnosPodataka!$M$24,'FinInd+CO2'!R9+1,"")</f>
        <v>14</v>
      </c>
      <c r="T9" s="13">
        <f>IF(S9&lt;UnosPodataka!$M$24,'FinInd+CO2'!S9+1,"")</f>
        <v>15</v>
      </c>
      <c r="U9" s="13">
        <f>IF(T9&lt;UnosPodataka!$M$24,'FinInd+CO2'!T9+1,"")</f>
        <v>16</v>
      </c>
      <c r="V9" s="13">
        <f>IF(U9&lt;UnosPodataka!$M$24,'FinInd+CO2'!U9+1,"")</f>
        <v>17</v>
      </c>
      <c r="W9" s="13">
        <f>IF(V9&lt;UnosPodataka!$M$24,'FinInd+CO2'!V9+1,"")</f>
        <v>18</v>
      </c>
      <c r="X9" s="13">
        <f>IF(W9&lt;UnosPodataka!$M$24,'FinInd+CO2'!W9+1,"")</f>
        <v>19</v>
      </c>
      <c r="Y9" s="13">
        <f>IF(X9&lt;UnosPodataka!$M$24,'FinInd+CO2'!X9+1,"")</f>
        <v>20</v>
      </c>
    </row>
    <row r="11" spans="1:25" x14ac:dyDescent="0.25">
      <c r="A11" s="70" t="s">
        <v>81</v>
      </c>
      <c r="B11" s="70"/>
      <c r="C11" s="70"/>
      <c r="D11" s="70"/>
      <c r="E11" s="2">
        <f>LOAN</f>
        <v>173000</v>
      </c>
      <c r="J11">
        <f>+CARBON</f>
        <v>97.44</v>
      </c>
    </row>
    <row r="12" spans="1:25" x14ac:dyDescent="0.25">
      <c r="A12" s="70" t="s">
        <v>82</v>
      </c>
      <c r="B12" s="70"/>
      <c r="C12" s="70"/>
      <c r="D12" s="70"/>
      <c r="E12" s="2">
        <f>IF(Equity=0,LOAN,Equity)</f>
        <v>45000</v>
      </c>
    </row>
    <row r="13" spans="1:25" x14ac:dyDescent="0.25">
      <c r="A13" s="74"/>
      <c r="B13" s="74"/>
      <c r="C13" s="74"/>
      <c r="D13" s="74"/>
    </row>
    <row r="14" spans="1:25" x14ac:dyDescent="0.25">
      <c r="A14" s="70" t="s">
        <v>94</v>
      </c>
      <c r="B14" s="70"/>
      <c r="C14" s="70"/>
      <c r="D14" s="70"/>
      <c r="F14" s="2">
        <f>IF(F9&lt;&gt;"",Ustede!$F$17,"")</f>
        <v>2148.2999999999997</v>
      </c>
      <c r="G14" s="2">
        <f>IF(G9&lt;&gt;"",Ustede!$F$17,"")</f>
        <v>2148.2999999999997</v>
      </c>
      <c r="H14" s="2">
        <f>IF(H9&lt;&gt;"",Ustede!$F$17,"")</f>
        <v>2148.2999999999997</v>
      </c>
      <c r="I14" s="2">
        <f>IF(I9&lt;&gt;"",Ustede!$F$17,"")</f>
        <v>2148.2999999999997</v>
      </c>
      <c r="J14" s="2">
        <f>IF(J9&lt;&gt;"",Ustede!$F$17,"")</f>
        <v>2148.2999999999997</v>
      </c>
      <c r="K14" s="2">
        <f>IF(K9&lt;&gt;"",Ustede!$F$17,"")</f>
        <v>2148.2999999999997</v>
      </c>
      <c r="L14" s="2">
        <f>IF(L9&lt;&gt;"",Ustede!$F$17,"")</f>
        <v>2148.2999999999997</v>
      </c>
      <c r="M14" s="2">
        <f>IF(M9&lt;&gt;"",Ustede!$F$17,"")</f>
        <v>2148.2999999999997</v>
      </c>
      <c r="N14" s="2">
        <f>IF(N9&lt;&gt;"",Ustede!$F$17,"")</f>
        <v>2148.2999999999997</v>
      </c>
      <c r="O14" s="2">
        <f>IF(O9&lt;&gt;"",Ustede!$F$17,"")</f>
        <v>2148.2999999999997</v>
      </c>
      <c r="P14" s="2">
        <f>IF(P9&lt;&gt;"",Ustede!$F$17,"")</f>
        <v>2148.2999999999997</v>
      </c>
      <c r="Q14" s="2">
        <f>IF(Q9&lt;&gt;"",Ustede!$F$17,"")</f>
        <v>2148.2999999999997</v>
      </c>
      <c r="R14" s="2">
        <f>IF(R9&lt;&gt;"",Ustede!$F$17,"")</f>
        <v>2148.2999999999997</v>
      </c>
      <c r="S14" s="2">
        <f>IF(S9&lt;&gt;"",Ustede!$F$17,"")</f>
        <v>2148.2999999999997</v>
      </c>
      <c r="T14" s="2">
        <f>IF(T9&lt;&gt;"",Ustede!$F$17,"")</f>
        <v>2148.2999999999997</v>
      </c>
      <c r="U14" s="2">
        <f>IF(U9&lt;&gt;"",Ustede!$F$17,"")</f>
        <v>2148.2999999999997</v>
      </c>
      <c r="V14" s="2">
        <f>IF(V9&lt;&gt;"",Ustede!$F$17,"")</f>
        <v>2148.2999999999997</v>
      </c>
      <c r="W14" s="2">
        <f>IF(W9&lt;&gt;"",Ustede!$F$17,"")</f>
        <v>2148.2999999999997</v>
      </c>
      <c r="X14" s="2">
        <f>IF(X9&lt;&gt;"",Ustede!$F$17,"")</f>
        <v>2148.2999999999997</v>
      </c>
      <c r="Y14" s="2">
        <f>IF(Y9&lt;&gt;"",Ustede!$F$17,"")</f>
        <v>2148.2999999999997</v>
      </c>
    </row>
    <row r="15" spans="1:25" x14ac:dyDescent="0.25">
      <c r="A15" s="21"/>
      <c r="B15" s="21"/>
      <c r="C15" s="21"/>
      <c r="D15" s="21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3" t="s">
        <v>152</v>
      </c>
      <c r="B16" s="63"/>
      <c r="C16" s="63"/>
      <c r="D16" s="6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70" t="s">
        <v>83</v>
      </c>
      <c r="B17" s="70"/>
      <c r="C17" s="70"/>
      <c r="D17" s="70"/>
      <c r="F17" s="2">
        <f>IF(F9&lt;&gt;"",Ustede!$F$18,"")</f>
        <v>128215.16267648863</v>
      </c>
      <c r="G17" s="2">
        <f>IF(G9&lt;&gt;"",Ustede!$F$18,"")</f>
        <v>128215.16267648863</v>
      </c>
      <c r="H17" s="2">
        <f>IF(H9&lt;&gt;"",Ustede!$F$18,"")</f>
        <v>128215.16267648863</v>
      </c>
      <c r="I17" s="2">
        <f>IF(I9&lt;&gt;"",Ustede!$F$18,"")</f>
        <v>128215.16267648863</v>
      </c>
      <c r="J17" s="2">
        <f>IF(J9&lt;&gt;"",Ustede!$F$18,"")</f>
        <v>128215.16267648863</v>
      </c>
      <c r="K17" s="2">
        <f>IF(K9&lt;&gt;"",Ustede!$F$18,"")</f>
        <v>128215.16267648863</v>
      </c>
      <c r="L17" s="2">
        <f>IF(L9&lt;&gt;"",Ustede!$F$18,"")</f>
        <v>128215.16267648863</v>
      </c>
      <c r="M17" s="2">
        <f>IF(M9&lt;&gt;"",Ustede!$F$18,"")</f>
        <v>128215.16267648863</v>
      </c>
      <c r="N17" s="2">
        <f>IF(N9&lt;&gt;"",Ustede!$F$18,"")</f>
        <v>128215.16267648863</v>
      </c>
      <c r="O17" s="2">
        <f>IF(O9&lt;&gt;"",Ustede!$F$18,"")</f>
        <v>128215.16267648863</v>
      </c>
      <c r="P17" s="2">
        <f>IF(P9&lt;&gt;"",Ustede!$F$18,"")</f>
        <v>128215.16267648863</v>
      </c>
      <c r="Q17" s="2">
        <f>IF(Q9&lt;&gt;"",Ustede!$F$18,"")</f>
        <v>128215.16267648863</v>
      </c>
      <c r="R17" s="2">
        <f>IF(R9&lt;&gt;"",Ustede!$F$18,"")</f>
        <v>128215.16267648863</v>
      </c>
      <c r="S17" s="2">
        <f>IF(S9&lt;&gt;"",Ustede!$F$18,"")</f>
        <v>128215.16267648863</v>
      </c>
      <c r="T17" s="2">
        <f>IF(T9&lt;&gt;"",Ustede!$F$18,"")</f>
        <v>128215.16267648863</v>
      </c>
      <c r="U17" s="2">
        <f>IF(U9&lt;&gt;"",Ustede!$F$18,"")</f>
        <v>128215.16267648863</v>
      </c>
      <c r="V17" s="2">
        <f>IF(V9&lt;&gt;"",Ustede!$F$18,"")</f>
        <v>128215.16267648863</v>
      </c>
      <c r="W17" s="2">
        <f>IF(W9&lt;&gt;"",Ustede!$F$18,"")</f>
        <v>128215.16267648863</v>
      </c>
      <c r="X17" s="2">
        <f>IF(X9&lt;&gt;"",Ustede!$F$18,"")</f>
        <v>128215.16267648863</v>
      </c>
      <c r="Y17" s="2">
        <f>IF(Y9&lt;&gt;"",Ustede!$F$18,"")</f>
        <v>128215.16267648863</v>
      </c>
    </row>
    <row r="18" spans="1:25" ht="18" x14ac:dyDescent="0.35">
      <c r="A18" s="70" t="s">
        <v>95</v>
      </c>
      <c r="B18" s="70"/>
      <c r="C18" s="70"/>
      <c r="D18" s="70"/>
      <c r="F18" s="2">
        <f>IF(F9&lt;&gt;"",F14*Ustede!$F$19*CARBON,"")</f>
        <v>0</v>
      </c>
      <c r="G18" s="2">
        <f>IF(G9&lt;&gt;"",G14*Ustede!$F$19*CARBON,"")</f>
        <v>0</v>
      </c>
      <c r="H18" s="2">
        <f>IF(H9&lt;&gt;"",H14*Ustede!$F$19*CARBON,"")</f>
        <v>0</v>
      </c>
      <c r="I18" s="2">
        <f>IF(I9&lt;&gt;"",I14*Ustede!$F$19*CARBON,"")</f>
        <v>0</v>
      </c>
      <c r="J18" s="2">
        <f>IF(J9&lt;&gt;"",J14*Ustede!$F$19*CARBON,"")</f>
        <v>0</v>
      </c>
      <c r="K18" s="2">
        <f>IF(K9&lt;&gt;"",K14*Ustede!$F$19*CARBON,"")</f>
        <v>0</v>
      </c>
      <c r="L18" s="2">
        <f>IF(L9&lt;&gt;"",L14*Ustede!$F$19*CARBON,"")</f>
        <v>0</v>
      </c>
      <c r="M18" s="2">
        <f>IF(M9&lt;&gt;"",M14*Ustede!$F$19*CARBON,"")</f>
        <v>0</v>
      </c>
      <c r="N18" s="2">
        <f>IF(N9&lt;&gt;"",N14*Ustede!$F$19*CARBON,"")</f>
        <v>0</v>
      </c>
      <c r="O18" s="2">
        <f>IF(O9&lt;&gt;"",O14*Ustede!$F$19*CARBON,"")</f>
        <v>0</v>
      </c>
      <c r="P18" s="2">
        <f>IF(P9&lt;&gt;"",P14*Ustede!$F$19*CARBON,"")</f>
        <v>0</v>
      </c>
      <c r="Q18" s="2">
        <f>IF(Q9&lt;&gt;"",Q14*Ustede!$F$19*CARBON,"")</f>
        <v>0</v>
      </c>
      <c r="R18" s="2">
        <f>IF(R9&lt;&gt;"",R14*Ustede!$F$19*CARBON,"")</f>
        <v>0</v>
      </c>
      <c r="S18" s="2">
        <f>IF(S9&lt;&gt;"",S14*Ustede!$F$19*CARBON,"")</f>
        <v>0</v>
      </c>
      <c r="T18" s="2">
        <f>IF(T9&lt;&gt;"",T14*Ustede!$F$19*CARBON,"")</f>
        <v>0</v>
      </c>
      <c r="U18" s="2">
        <f>IF(U9&lt;&gt;"",U14*Ustede!$F$19*CARBON,"")</f>
        <v>0</v>
      </c>
      <c r="V18" s="2">
        <f>IF(V9&lt;&gt;"",V14*Ustede!$F$19*CARBON,"")</f>
        <v>0</v>
      </c>
      <c r="W18" s="2">
        <f>IF(W9&lt;&gt;"",W14*Ustede!$F$19*CARBON,"")</f>
        <v>0</v>
      </c>
      <c r="X18" s="2">
        <f>IF(X9&lt;&gt;"",X14*Ustede!$F$19*CARBON,"")</f>
        <v>0</v>
      </c>
      <c r="Y18" s="2">
        <f>IF(Y9&lt;&gt;"",Y14*Ustede!$F$19*CARBON,"")</f>
        <v>0</v>
      </c>
    </row>
    <row r="19" spans="1:25" x14ac:dyDescent="0.25">
      <c r="A19" s="75" t="s">
        <v>96</v>
      </c>
      <c r="B19" s="75"/>
      <c r="C19" s="75"/>
      <c r="D19" s="75"/>
      <c r="E19" s="34"/>
      <c r="F19" s="35">
        <f t="shared" ref="F19:Y19" si="0">IF(F9&lt;&gt;"",F17+F18,"")</f>
        <v>128215.16267648863</v>
      </c>
      <c r="G19" s="35">
        <f t="shared" si="0"/>
        <v>128215.16267648863</v>
      </c>
      <c r="H19" s="35">
        <f t="shared" si="0"/>
        <v>128215.16267648863</v>
      </c>
      <c r="I19" s="35">
        <f t="shared" si="0"/>
        <v>128215.16267648863</v>
      </c>
      <c r="J19" s="35">
        <f t="shared" si="0"/>
        <v>128215.16267648863</v>
      </c>
      <c r="K19" s="35">
        <f t="shared" si="0"/>
        <v>128215.16267648863</v>
      </c>
      <c r="L19" s="35">
        <f t="shared" si="0"/>
        <v>128215.16267648863</v>
      </c>
      <c r="M19" s="35">
        <f t="shared" si="0"/>
        <v>128215.16267648863</v>
      </c>
      <c r="N19" s="35">
        <f t="shared" si="0"/>
        <v>128215.16267648863</v>
      </c>
      <c r="O19" s="35">
        <f t="shared" si="0"/>
        <v>128215.16267648863</v>
      </c>
      <c r="P19" s="35">
        <f t="shared" si="0"/>
        <v>128215.16267648863</v>
      </c>
      <c r="Q19" s="35">
        <f t="shared" si="0"/>
        <v>128215.16267648863</v>
      </c>
      <c r="R19" s="35">
        <f t="shared" si="0"/>
        <v>128215.16267648863</v>
      </c>
      <c r="S19" s="35">
        <f t="shared" si="0"/>
        <v>128215.16267648863</v>
      </c>
      <c r="T19" s="35">
        <f t="shared" si="0"/>
        <v>128215.16267648863</v>
      </c>
      <c r="U19" s="35">
        <f t="shared" si="0"/>
        <v>128215.16267648863</v>
      </c>
      <c r="V19" s="35">
        <f t="shared" si="0"/>
        <v>128215.16267648863</v>
      </c>
      <c r="W19" s="35">
        <f t="shared" si="0"/>
        <v>128215.16267648863</v>
      </c>
      <c r="X19" s="35">
        <f t="shared" si="0"/>
        <v>128215.16267648863</v>
      </c>
      <c r="Y19" s="35">
        <f t="shared" si="0"/>
        <v>128215.16267648863</v>
      </c>
    </row>
    <row r="20" spans="1:25" x14ac:dyDescent="0.25">
      <c r="A20" s="74"/>
      <c r="B20" s="74"/>
      <c r="C20" s="74"/>
      <c r="D20" s="74"/>
    </row>
    <row r="21" spans="1:25" x14ac:dyDescent="0.25">
      <c r="A21" s="63" t="s">
        <v>153</v>
      </c>
      <c r="B21" s="63"/>
      <c r="C21" s="63"/>
      <c r="D21" s="63"/>
    </row>
    <row r="22" spans="1:25" x14ac:dyDescent="0.25">
      <c r="A22" s="70" t="s">
        <v>97</v>
      </c>
      <c r="B22" s="70"/>
      <c r="C22" s="70"/>
      <c r="D22" s="70"/>
      <c r="F22" s="2">
        <f>IF(F9&gt;UnosPodataka!$M$21,"",-VLOOKUP(F9,Anuiteti!$B$13:$E$32,3,FALSE))</f>
        <v>-20760</v>
      </c>
      <c r="G22" s="2">
        <f>IF(G9&gt;UnosPodataka!$M$21,"",-VLOOKUP(G9,Anuiteti!$B$13:$E$32,3,FALSE))</f>
        <v>-19072.15301302178</v>
      </c>
      <c r="H22" s="2">
        <f>IF(H9&gt;UnosPodataka!$M$21,"",-VLOOKUP(H9,Anuiteti!$B$13:$E$32,3,FALSE))</f>
        <v>-17181.76438760617</v>
      </c>
      <c r="I22" s="2">
        <f>IF(I9&gt;UnosPodataka!$M$21,"",-VLOOKUP(I9,Anuiteti!$B$13:$E$32,3,FALSE))</f>
        <v>-15064.529127140691</v>
      </c>
      <c r="J22" s="2">
        <f>IF(J9&gt;UnosPodataka!$M$21,"",-VLOOKUP(J9,Anuiteti!$B$13:$E$32,3,FALSE))</f>
        <v>-12693.225635419356</v>
      </c>
      <c r="K22" s="2">
        <f>IF(K9&gt;UnosPodataka!$M$21,"",-VLOOKUP(K9,Anuiteti!$B$13:$E$32,3,FALSE))</f>
        <v>-10037.365724691455</v>
      </c>
      <c r="L22" s="2">
        <f>IF(L9&gt;UnosPodataka!$M$21,"",-VLOOKUP(L9,Anuiteti!$B$13:$E$32,3,FALSE))</f>
        <v>-7062.8026246762092</v>
      </c>
      <c r="M22" s="2">
        <f>IF(M9&gt;UnosPodataka!$M$21,"",-VLOOKUP(M9,Anuiteti!$B$13:$E$32,3,FALSE))</f>
        <v>-3731.2919526591327</v>
      </c>
      <c r="N22" s="2" t="str">
        <f>IF(N9&gt;UnosPodataka!$M$21,"",-VLOOKUP(N9,Anuiteti!$B$13:$E$32,3,FALSE))</f>
        <v/>
      </c>
      <c r="O22" s="2" t="str">
        <f>IF(O9&gt;UnosPodataka!$M$21,"",-VLOOKUP(O9,Anuiteti!$B$13:$E$32,3,FALSE))</f>
        <v/>
      </c>
      <c r="P22" s="2" t="str">
        <f>IF(P9&gt;UnosPodataka!$M$21,"",-VLOOKUP(P9,Anuiteti!$B$13:$E$32,3,FALSE))</f>
        <v/>
      </c>
      <c r="Q22" s="2" t="str">
        <f>IF(Q9&gt;UnosPodataka!$M$21,"",-VLOOKUP(Q9,Anuiteti!$B$13:$E$32,3,FALSE))</f>
        <v/>
      </c>
      <c r="R22" s="2" t="str">
        <f>IF(R9&gt;UnosPodataka!$M$21,"",-VLOOKUP(R9,Anuiteti!$B$13:$E$32,3,FALSE))</f>
        <v/>
      </c>
      <c r="S22" s="2" t="str">
        <f>IF(S9&gt;UnosPodataka!$M$21,"",-VLOOKUP(S9,Anuiteti!$B$13:$E$32,3,FALSE))</f>
        <v/>
      </c>
      <c r="T22" s="2" t="str">
        <f>IF(T9&gt;UnosPodataka!$M$21,"",-VLOOKUP(T9,Anuiteti!$B$13:$E$32,3,FALSE))</f>
        <v/>
      </c>
      <c r="U22" s="2" t="str">
        <f>IF(U9&gt;UnosPodataka!$M$21,"",-VLOOKUP(U9,Anuiteti!$B$13:$E$32,3,FALSE))</f>
        <v/>
      </c>
      <c r="V22" s="2" t="str">
        <f>IF(V9&gt;UnosPodataka!$M$21,"",-VLOOKUP(V9,Anuiteti!$B$13:$E$32,3,FALSE))</f>
        <v/>
      </c>
      <c r="W22" s="2" t="str">
        <f>IF(W9&gt;UnosPodataka!$M$21,"",-VLOOKUP(W9,Anuiteti!$B$13:$E$32,3,FALSE))</f>
        <v/>
      </c>
      <c r="X22" s="2" t="str">
        <f>IF(X9&gt;UnosPodataka!$M$21,"",-VLOOKUP(X9,Anuiteti!$B$13:$E$32,3,FALSE))</f>
        <v/>
      </c>
      <c r="Y22" s="2" t="str">
        <f>IF(Y9&gt;UnosPodataka!$M$21,"",-VLOOKUP(Y9,Anuiteti!$B$13:$E$32,3,FALSE))</f>
        <v/>
      </c>
    </row>
    <row r="23" spans="1:25" x14ac:dyDescent="0.25">
      <c r="A23" s="21" t="s">
        <v>154</v>
      </c>
      <c r="B23" s="21"/>
      <c r="C23" s="21"/>
      <c r="D23" s="21"/>
      <c r="F23" s="2">
        <f>IF(F22="",0,IF(F9&gt;UnosPodataka!$M$24,"",VLOOKUP(F9,Anuiteti!$B$13:$E$32,4,FALSE)+VLOOKUP(F9,Anuiteti!$B$13:$E$32,3,FALSE)))</f>
        <v>-14065.391558151845</v>
      </c>
      <c r="G23" s="2">
        <f>IF(G22="",0,IF(G9&gt;UnosPodataka!$M$24,"",VLOOKUP(G9,Anuiteti!$B$13:$E$32,4,FALSE)+VLOOKUP(G9,Anuiteti!$B$13:$E$32,3,FALSE)))</f>
        <v>-15753.238545130065</v>
      </c>
      <c r="H23" s="2">
        <f>IF(H22="",0,IF(H9&gt;UnosPodataka!$M$24,"",VLOOKUP(H9,Anuiteti!$B$13:$E$32,4,FALSE)+VLOOKUP(H9,Anuiteti!$B$13:$E$32,3,FALSE)))</f>
        <v>-17643.627170545675</v>
      </c>
      <c r="I23" s="2">
        <f>IF(I22="",0,IF(I9&gt;UnosPodataka!$M$24,"",VLOOKUP(I9,Anuiteti!$B$13:$E$32,4,FALSE)+VLOOKUP(I9,Anuiteti!$B$13:$E$32,3,FALSE)))</f>
        <v>-19760.862431011155</v>
      </c>
      <c r="J23" s="2">
        <f>IF(J22="",0,IF(J9&gt;UnosPodataka!$M$24,"",VLOOKUP(J9,Anuiteti!$B$13:$E$32,4,FALSE)+VLOOKUP(J9,Anuiteti!$B$13:$E$32,3,FALSE)))</f>
        <v>-22132.165922732489</v>
      </c>
      <c r="K23" s="2">
        <f>IF(K22="",0,IF(K9&gt;UnosPodataka!$M$24,"",VLOOKUP(K9,Anuiteti!$B$13:$E$32,4,FALSE)+VLOOKUP(K9,Anuiteti!$B$13:$E$32,3,FALSE)))</f>
        <v>-24788.02583346039</v>
      </c>
      <c r="L23" s="2">
        <f>IF(L22="",0,IF(L9&gt;UnosPodataka!$M$24,"",VLOOKUP(L9,Anuiteti!$B$13:$E$32,4,FALSE)+VLOOKUP(L9,Anuiteti!$B$13:$E$32,3,FALSE)))</f>
        <v>-27762.588933475636</v>
      </c>
      <c r="M23" s="2">
        <f>IF(M22="",0,IF(M9&gt;UnosPodataka!$M$24,"",VLOOKUP(M9,Anuiteti!$B$13:$E$32,4,FALSE)+VLOOKUP(M9,Anuiteti!$B$13:$E$32,3,FALSE)))</f>
        <v>-31094.099605492713</v>
      </c>
      <c r="N23" s="2">
        <f>IF(N22="",0,IF(N9&gt;UnosPodataka!$M$24,"",VLOOKUP(N9,Anuiteti!$B$13:$E$32,4,FALSE)+VLOOKUP(N9,Anuiteti!$B$13:$E$32,3,FALSE)))</f>
        <v>0</v>
      </c>
      <c r="O23" s="2">
        <f>IF(O22="",0,IF(O9&gt;UnosPodataka!$M$24,"",VLOOKUP(O9,Anuiteti!$B$13:$E$32,4,FALSE)+VLOOKUP(O9,Anuiteti!$B$13:$E$32,3,FALSE)))</f>
        <v>0</v>
      </c>
      <c r="P23" s="2">
        <f>IF(P22="",0,IF(P9&gt;UnosPodataka!$M$24,"",VLOOKUP(P9,Anuiteti!$B$13:$E$32,4,FALSE)+VLOOKUP(P9,Anuiteti!$B$13:$E$32,3,FALSE)))</f>
        <v>0</v>
      </c>
      <c r="Q23" s="2">
        <f>IF(Q22="",0,IF(Q9&gt;UnosPodataka!$M$24,"",VLOOKUP(Q9,Anuiteti!$B$13:$E$32,4,FALSE)+VLOOKUP(Q9,Anuiteti!$B$13:$E$32,3,FALSE)))</f>
        <v>0</v>
      </c>
      <c r="R23" s="2">
        <f>IF(R22="",0,IF(R9&gt;UnosPodataka!$M$24,"",VLOOKUP(R9,Anuiteti!$B$13:$E$32,4,FALSE)+VLOOKUP(R9,Anuiteti!$B$13:$E$32,3,FALSE)))</f>
        <v>0</v>
      </c>
      <c r="S23" s="2">
        <f>IF(S22="",0,IF(S9&gt;UnosPodataka!$M$24,"",VLOOKUP(S9,Anuiteti!$B$13:$E$32,4,FALSE)+VLOOKUP(S9,Anuiteti!$B$13:$E$32,3,FALSE)))</f>
        <v>0</v>
      </c>
      <c r="T23" s="2">
        <f>IF(T22="",0,IF(T9&gt;UnosPodataka!$M$24,"",VLOOKUP(T9,Anuiteti!$B$13:$E$32,4,FALSE)+VLOOKUP(T9,Anuiteti!$B$13:$E$32,3,FALSE)))</f>
        <v>0</v>
      </c>
      <c r="U23" s="2">
        <f>IF(U22="",0,IF(U9&gt;UnosPodataka!$M$24,"",VLOOKUP(U9,Anuiteti!$B$13:$E$32,4,FALSE)+VLOOKUP(U9,Anuiteti!$B$13:$E$32,3,FALSE)))</f>
        <v>0</v>
      </c>
      <c r="V23" s="2">
        <f>IF(V22="",0,IF(V9&gt;UnosPodataka!$M$24,"",VLOOKUP(V9,Anuiteti!$B$13:$E$32,4,FALSE)+VLOOKUP(V9,Anuiteti!$B$13:$E$32,3,FALSE)))</f>
        <v>0</v>
      </c>
      <c r="W23" s="2">
        <f>IF(W22="",0,IF(W9&gt;UnosPodataka!$M$24,"",VLOOKUP(W9,Anuiteti!$B$13:$E$32,4,FALSE)+VLOOKUP(W9,Anuiteti!$B$13:$E$32,3,FALSE)))</f>
        <v>0</v>
      </c>
      <c r="X23" s="2">
        <f>IF(X22="",0,IF(X9&gt;UnosPodataka!$M$24,"",VLOOKUP(X9,Anuiteti!$B$13:$E$32,4,FALSE)+VLOOKUP(X9,Anuiteti!$B$13:$E$32,3,FALSE)))</f>
        <v>0</v>
      </c>
      <c r="Y23" s="2">
        <f>IF(Y22="",0,IF(Y9&gt;UnosPodataka!$M$24,"",VLOOKUP(Y9,Anuiteti!$B$13:$E$32,4,FALSE)+VLOOKUP(Y9,Anuiteti!$B$13:$E$32,3,FALSE)))</f>
        <v>0</v>
      </c>
    </row>
    <row r="24" spans="1:25" x14ac:dyDescent="0.25">
      <c r="A24" s="70" t="s">
        <v>86</v>
      </c>
      <c r="B24" s="70"/>
      <c r="C24" s="70"/>
      <c r="D24" s="70"/>
      <c r="F24" s="2">
        <f>IF(F9&lt;&gt;"",-UnosPodataka!$M$9,"")</f>
        <v>-100</v>
      </c>
      <c r="G24" s="2">
        <f>IF(G9&lt;&gt;"",-UnosPodataka!$M$9,"")</f>
        <v>-100</v>
      </c>
      <c r="H24" s="2">
        <f>IF(H9&lt;&gt;"",-UnosPodataka!$M$9,"")</f>
        <v>-100</v>
      </c>
      <c r="I24" s="2">
        <f>IF(I9&lt;&gt;"",-UnosPodataka!$M$9,"")</f>
        <v>-100</v>
      </c>
      <c r="J24" s="2">
        <f>IF(J9&lt;&gt;"",-UnosPodataka!$M$9,"")</f>
        <v>-100</v>
      </c>
      <c r="K24" s="2">
        <f>IF(K9&lt;&gt;"",-UnosPodataka!$M$9,"")</f>
        <v>-100</v>
      </c>
      <c r="L24" s="2">
        <f>IF(L9&lt;&gt;"",-UnosPodataka!$M$9,"")</f>
        <v>-100</v>
      </c>
      <c r="M24" s="2">
        <f>IF(M9&lt;&gt;"",-UnosPodataka!$M$9,"")</f>
        <v>-100</v>
      </c>
      <c r="N24" s="2">
        <f>IF(N9&lt;&gt;"",-UnosPodataka!$M$9,"")</f>
        <v>-100</v>
      </c>
      <c r="O24" s="2">
        <f>IF(O9&lt;&gt;"",-UnosPodataka!$M$9,"")</f>
        <v>-100</v>
      </c>
      <c r="P24" s="2">
        <f>IF(P9&lt;&gt;"",-UnosPodataka!$M$9,"")</f>
        <v>-100</v>
      </c>
      <c r="Q24" s="2">
        <f>IF(Q9&lt;&gt;"",-UnosPodataka!$M$9,"")</f>
        <v>-100</v>
      </c>
      <c r="R24" s="2">
        <f>IF(R9&lt;&gt;"",-UnosPodataka!$M$9,"")</f>
        <v>-100</v>
      </c>
      <c r="S24" s="2">
        <f>IF(S9&lt;&gt;"",-UnosPodataka!$M$9,"")</f>
        <v>-100</v>
      </c>
      <c r="T24" s="2">
        <f>IF(T9&lt;&gt;"",-UnosPodataka!$M$9,"")</f>
        <v>-100</v>
      </c>
      <c r="U24" s="2">
        <f>IF(U9&lt;&gt;"",-UnosPodataka!$M$9,"")</f>
        <v>-100</v>
      </c>
      <c r="V24" s="2">
        <f>IF(V9&lt;&gt;"",-UnosPodataka!$M$9,"")</f>
        <v>-100</v>
      </c>
      <c r="W24" s="2">
        <f>IF(W9&lt;&gt;"",-UnosPodataka!$M$9,"")</f>
        <v>-100</v>
      </c>
      <c r="X24" s="2">
        <f>IF(X9&lt;&gt;"",-UnosPodataka!$M$9,"")</f>
        <v>-100</v>
      </c>
      <c r="Y24" s="2">
        <f>IF(Y9&lt;&gt;"",-UnosPodataka!$M$9,"")</f>
        <v>-100</v>
      </c>
    </row>
    <row r="25" spans="1:25" x14ac:dyDescent="0.25">
      <c r="A25" s="70" t="s">
        <v>87</v>
      </c>
      <c r="B25" s="70"/>
      <c r="C25" s="70"/>
      <c r="D25" s="70"/>
      <c r="F25" s="2">
        <f>IF(F9&lt;&gt;"",-Investment*UnosPodataka!$M$11,"")</f>
        <v>-6540</v>
      </c>
      <c r="G25" s="2">
        <f>IF(G9&lt;&gt;"",-Investment*UnosPodataka!$M$11,"")</f>
        <v>-6540</v>
      </c>
      <c r="H25" s="2">
        <f>IF(H9&lt;&gt;"",-Investment*UnosPodataka!$M$11,"")</f>
        <v>-6540</v>
      </c>
      <c r="I25" s="2">
        <f>IF(I9&lt;&gt;"",-Investment*UnosPodataka!$M$11,"")</f>
        <v>-6540</v>
      </c>
      <c r="J25" s="2">
        <f>IF(J9&lt;&gt;"",-Investment*UnosPodataka!$M$11,"")</f>
        <v>-6540</v>
      </c>
      <c r="K25" s="2">
        <f>IF(K9&lt;&gt;"",-Investment*UnosPodataka!$M$11,"")</f>
        <v>-6540</v>
      </c>
      <c r="L25" s="2">
        <f>IF(L9&lt;&gt;"",-Investment*UnosPodataka!$M$11,"")</f>
        <v>-6540</v>
      </c>
      <c r="M25" s="2">
        <f>IF(M9&lt;&gt;"",-Investment*UnosPodataka!$M$11,"")</f>
        <v>-6540</v>
      </c>
      <c r="N25" s="2">
        <f>IF(N9&lt;&gt;"",-Investment*UnosPodataka!$M$11,"")</f>
        <v>-6540</v>
      </c>
      <c r="O25" s="2">
        <f>IF(O9&lt;&gt;"",-Investment*UnosPodataka!$M$11,"")</f>
        <v>-6540</v>
      </c>
      <c r="P25" s="2">
        <f>IF(P9&lt;&gt;"",-Investment*UnosPodataka!$M$11,"")</f>
        <v>-6540</v>
      </c>
      <c r="Q25" s="2">
        <f>IF(Q9&lt;&gt;"",-Investment*UnosPodataka!$M$11,"")</f>
        <v>-6540</v>
      </c>
      <c r="R25" s="2">
        <f>IF(R9&lt;&gt;"",-Investment*UnosPodataka!$M$11,"")</f>
        <v>-6540</v>
      </c>
      <c r="S25" s="2">
        <f>IF(S9&lt;&gt;"",-Investment*UnosPodataka!$M$11,"")</f>
        <v>-6540</v>
      </c>
      <c r="T25" s="2">
        <f>IF(T9&lt;&gt;"",-Investment*UnosPodataka!$M$11,"")</f>
        <v>-6540</v>
      </c>
      <c r="U25" s="2">
        <f>IF(U9&lt;&gt;"",-Investment*UnosPodataka!$M$11,"")</f>
        <v>-6540</v>
      </c>
      <c r="V25" s="2">
        <f>IF(V9&lt;&gt;"",-Investment*UnosPodataka!$M$11,"")</f>
        <v>-6540</v>
      </c>
      <c r="W25" s="2">
        <f>IF(W9&lt;&gt;"",-Investment*UnosPodataka!$M$11,"")</f>
        <v>-6540</v>
      </c>
      <c r="X25" s="2">
        <f>IF(X9&lt;&gt;"",-Investment*UnosPodataka!$M$11,"")</f>
        <v>-6540</v>
      </c>
      <c r="Y25" s="2">
        <f>IF(Y9&lt;&gt;"",-Investment*UnosPodataka!$M$11,"")</f>
        <v>-6540</v>
      </c>
    </row>
    <row r="26" spans="1:25" x14ac:dyDescent="0.25">
      <c r="A26" s="70" t="s">
        <v>98</v>
      </c>
      <c r="B26" s="70"/>
      <c r="C26" s="70"/>
      <c r="D26" s="70"/>
      <c r="F26" s="2">
        <f>-IF(F9&lt;&gt;"",ElEn*IF(Ustede!$H$14=TRUE,CirkP*1.1,CirkP*1.7)/Kurs_EUR)</f>
        <v>-1132.9377259395676</v>
      </c>
      <c r="G26" s="2">
        <f>-IF(G9&lt;&gt;"",ElEn*IF(Ustede!$H$14=TRUE,CirkP*1.1,CirkP*1.7)/Kurs_EUR)</f>
        <v>-1132.9377259395676</v>
      </c>
      <c r="H26" s="2">
        <f>-IF(H9&lt;&gt;"",ElEn*IF(Ustede!$H$14=TRUE,CirkP*1.1,CirkP*1.7)/Kurs_EUR)</f>
        <v>-1132.9377259395676</v>
      </c>
      <c r="I26" s="2">
        <f>-IF(I9&lt;&gt;"",ElEn*IF(Ustede!$H$14=TRUE,CirkP*1.1,CirkP*1.7)/Kurs_EUR)</f>
        <v>-1132.9377259395676</v>
      </c>
      <c r="J26" s="2">
        <f>-IF(J9&lt;&gt;"",ElEn*IF(Ustede!$H$14=TRUE,CirkP*1.1,CirkP*1.7)/Kurs_EUR)</f>
        <v>-1132.9377259395676</v>
      </c>
      <c r="K26" s="2">
        <f>-IF(K9&lt;&gt;"",ElEn*IF(Ustede!$H$14=TRUE,CirkP*1.1,CirkP*1.7)/Kurs_EUR)</f>
        <v>-1132.9377259395676</v>
      </c>
      <c r="L26" s="2">
        <f>-IF(L9&lt;&gt;"",ElEn*IF(Ustede!$H$14=TRUE,CirkP*1.1,CirkP*1.7)/Kurs_EUR)</f>
        <v>-1132.9377259395676</v>
      </c>
      <c r="M26" s="2">
        <f>-IF(M9&lt;&gt;"",ElEn*IF(Ustede!$H$14=TRUE,CirkP*1.1,CirkP*1.7)/Kurs_EUR)</f>
        <v>-1132.9377259395676</v>
      </c>
      <c r="N26" s="2">
        <f>-IF(N9&lt;&gt;"",ElEn*IF(Ustede!$H$14=TRUE,CirkP*1.1,CirkP*1.7)/Kurs_EUR)</f>
        <v>-1132.9377259395676</v>
      </c>
      <c r="O26" s="2">
        <f>-IF(O9&lt;&gt;"",ElEn*IF(Ustede!$H$14=TRUE,CirkP*1.1,CirkP*1.7)/Kurs_EUR)</f>
        <v>-1132.9377259395676</v>
      </c>
      <c r="P26" s="2">
        <f>-IF(P9&lt;&gt;"",ElEn*IF(Ustede!$H$14=TRUE,CirkP*1.1,CirkP*1.7)/Kurs_EUR)</f>
        <v>-1132.9377259395676</v>
      </c>
      <c r="Q26" s="2">
        <f>-IF(Q9&lt;&gt;"",ElEn*IF(Ustede!$H$14=TRUE,CirkP*1.1,CirkP*1.7)/Kurs_EUR)</f>
        <v>-1132.9377259395676</v>
      </c>
      <c r="R26" s="2">
        <f>-IF(R9&lt;&gt;"",ElEn*IF(Ustede!$H$14=TRUE,CirkP*1.1,CirkP*1.7)/Kurs_EUR)</f>
        <v>-1132.9377259395676</v>
      </c>
      <c r="S26" s="2">
        <f>-IF(S9&lt;&gt;"",ElEn*IF(Ustede!$H$14=TRUE,CirkP*1.1,CirkP*1.7)/Kurs_EUR)</f>
        <v>-1132.9377259395676</v>
      </c>
      <c r="T26" s="2">
        <f>-IF(T9&lt;&gt;"",ElEn*IF(Ustede!$H$14=TRUE,CirkP*1.1,CirkP*1.7)/Kurs_EUR)</f>
        <v>-1132.9377259395676</v>
      </c>
      <c r="U26" s="2">
        <f>-IF(U9&lt;&gt;"",ElEn*IF(Ustede!$H$14=TRUE,CirkP*1.1,CirkP*1.7)/Kurs_EUR)</f>
        <v>-1132.9377259395676</v>
      </c>
      <c r="V26" s="2">
        <f>-IF(V9&lt;&gt;"",ElEn*IF(Ustede!$H$14=TRUE,CirkP*1.1,CirkP*1.7)/Kurs_EUR)</f>
        <v>-1132.9377259395676</v>
      </c>
      <c r="W26" s="2">
        <f>-IF(W9&lt;&gt;"",ElEn*IF(Ustede!$H$14=TRUE,CirkP*1.1,CirkP*1.7)/Kurs_EUR)</f>
        <v>-1132.9377259395676</v>
      </c>
      <c r="X26" s="2">
        <f>-IF(X9&lt;&gt;"",ElEn*IF(Ustede!$H$14=TRUE,CirkP*1.1,CirkP*1.7)/Kurs_EUR)</f>
        <v>-1132.9377259395676</v>
      </c>
      <c r="Y26" s="2">
        <f>-IF(Y9&lt;&gt;"",ElEn*IF(Ustede!$H$14=TRUE,CirkP*1.1,CirkP*1.7)/Kurs_EUR)</f>
        <v>-1132.9377259395676</v>
      </c>
    </row>
    <row r="27" spans="1:25" x14ac:dyDescent="0.25">
      <c r="A27" s="70" t="s">
        <v>155</v>
      </c>
      <c r="B27" s="70"/>
      <c r="C27" s="70"/>
      <c r="D27" s="70"/>
      <c r="F27" s="2">
        <f>IF(F9&lt;&gt;"",-Investment*UnosPodataka!$M$12,"")</f>
        <v>-21800</v>
      </c>
      <c r="G27" s="2">
        <f>IF(G9&lt;&gt;"",-Investment*UnosPodataka!$M$12,"")</f>
        <v>-21800</v>
      </c>
      <c r="H27" s="2">
        <f>IF(H9&lt;&gt;"",-Investment*UnosPodataka!$M$12,"")</f>
        <v>-21800</v>
      </c>
      <c r="I27" s="2">
        <f>IF(I9&lt;&gt;"",-Investment*UnosPodataka!$M$12,"")</f>
        <v>-21800</v>
      </c>
      <c r="J27" s="2">
        <f>IF(J9&lt;&gt;"",-Investment*UnosPodataka!$M$12,"")</f>
        <v>-21800</v>
      </c>
      <c r="K27" s="2">
        <f>IF(K9&lt;&gt;"",-Investment*UnosPodataka!$M$12,"")</f>
        <v>-21800</v>
      </c>
      <c r="L27" s="2">
        <f>IF(L9&lt;&gt;"",-Investment*UnosPodataka!$M$12,"")</f>
        <v>-21800</v>
      </c>
      <c r="M27" s="2">
        <f>IF(M9&lt;&gt;"",-Investment*UnosPodataka!$M$12,"")</f>
        <v>-21800</v>
      </c>
      <c r="N27" s="2">
        <f>IF(N9&lt;&gt;"",-Investment*UnosPodataka!$M$12,"")</f>
        <v>-21800</v>
      </c>
      <c r="O27" s="2">
        <f>IF(O9&lt;&gt;"",-Investment*UnosPodataka!$M$12,"")</f>
        <v>-21800</v>
      </c>
      <c r="P27" s="2">
        <f>IF(P9&lt;&gt;"",-Investment*UnosPodataka!$M$12,"")</f>
        <v>-21800</v>
      </c>
      <c r="Q27" s="2">
        <f>IF(Q9&lt;&gt;"",-Investment*UnosPodataka!$M$12,"")</f>
        <v>-21800</v>
      </c>
      <c r="R27" s="2">
        <f>IF(R9&lt;&gt;"",-Investment*UnosPodataka!$M$12,"")</f>
        <v>-21800</v>
      </c>
      <c r="S27" s="2">
        <f>IF(S9&lt;&gt;"",-Investment*UnosPodataka!$M$12,"")</f>
        <v>-21800</v>
      </c>
      <c r="T27" s="2">
        <f>IF(T9&lt;&gt;"",-Investment*UnosPodataka!$M$12,"")</f>
        <v>-21800</v>
      </c>
      <c r="U27" s="2">
        <f>IF(U9&lt;&gt;"",-Investment*UnosPodataka!$M$12,"")</f>
        <v>-21800</v>
      </c>
      <c r="V27" s="2">
        <f>IF(V9&lt;&gt;"",-Investment*UnosPodataka!$M$12,"")</f>
        <v>-21800</v>
      </c>
      <c r="W27" s="2">
        <f>IF(W9&lt;&gt;"",-Investment*UnosPodataka!$M$12,"")</f>
        <v>-21800</v>
      </c>
      <c r="X27" s="2">
        <f>IF(X9&lt;&gt;"",-Investment*UnosPodataka!$M$12,"")</f>
        <v>-21800</v>
      </c>
      <c r="Y27" s="2">
        <f>IF(Y9&lt;&gt;"",-Investment*UnosPodataka!$M$12,"")</f>
        <v>-21800</v>
      </c>
    </row>
    <row r="28" spans="1:25" x14ac:dyDescent="0.25">
      <c r="A28" s="74" t="s">
        <v>137</v>
      </c>
      <c r="B28" s="74"/>
      <c r="C28" s="74"/>
      <c r="D28" s="74"/>
      <c r="F28" s="2">
        <f>IF(F9&lt;&gt;"",-(1-UnosPodataka!$M$10)*'FinInd+CO2'!F17,"")</f>
        <v>0</v>
      </c>
      <c r="G28" s="2">
        <f>IF(G9&lt;&gt;"",-(1-UnosPodataka!$M$10)*'FinInd+CO2'!G17,"")</f>
        <v>0</v>
      </c>
      <c r="H28" s="2">
        <f>IF(H9&lt;&gt;"",-(1-UnosPodataka!$M$10)*'FinInd+CO2'!H17,"")</f>
        <v>0</v>
      </c>
      <c r="I28" s="2">
        <f>IF(I9&lt;&gt;"",-(1-UnosPodataka!$M$10)*'FinInd+CO2'!I17,"")</f>
        <v>0</v>
      </c>
      <c r="J28" s="2">
        <f>IF(J9&lt;&gt;"",-(1-UnosPodataka!$M$10)*'FinInd+CO2'!J17,"")</f>
        <v>0</v>
      </c>
      <c r="K28" s="2">
        <f>IF(K9&lt;&gt;"",-(1-UnosPodataka!$M$10)*'FinInd+CO2'!K17,"")</f>
        <v>0</v>
      </c>
      <c r="L28" s="2">
        <f>IF(L9&lt;&gt;"",-(1-UnosPodataka!$M$10)*'FinInd+CO2'!L17,"")</f>
        <v>0</v>
      </c>
      <c r="M28" s="2">
        <f>IF(M9&lt;&gt;"",-(1-UnosPodataka!$M$10)*'FinInd+CO2'!M17,"")</f>
        <v>0</v>
      </c>
      <c r="N28" s="2">
        <f>IF(N9&lt;&gt;"",-(1-UnosPodataka!$M$10)*'FinInd+CO2'!N17,"")</f>
        <v>0</v>
      </c>
      <c r="O28" s="2">
        <f>IF(O9&lt;&gt;"",-(1-UnosPodataka!$M$10)*'FinInd+CO2'!O17,"")</f>
        <v>0</v>
      </c>
      <c r="P28" s="2">
        <f>IF(P9&lt;&gt;"",-(1-UnosPodataka!$M$10)*'FinInd+CO2'!P17,"")</f>
        <v>0</v>
      </c>
      <c r="Q28" s="2">
        <f>IF(Q9&lt;&gt;"",-(1-UnosPodataka!$M$10)*'FinInd+CO2'!Q17,"")</f>
        <v>0</v>
      </c>
      <c r="R28" s="2">
        <f>IF(R9&lt;&gt;"",-(1-UnosPodataka!$M$10)*'FinInd+CO2'!R17,"")</f>
        <v>0</v>
      </c>
      <c r="S28" s="2">
        <f>IF(S9&lt;&gt;"",-(1-UnosPodataka!$M$10)*'FinInd+CO2'!S17,"")</f>
        <v>0</v>
      </c>
      <c r="T28" s="2">
        <f>IF(T9&lt;&gt;"",-(1-UnosPodataka!$M$10)*'FinInd+CO2'!T17,"")</f>
        <v>0</v>
      </c>
      <c r="U28" s="2">
        <f>IF(U9&lt;&gt;"",-(1-UnosPodataka!$M$10)*'FinInd+CO2'!U17,"")</f>
        <v>0</v>
      </c>
      <c r="V28" s="2">
        <f>IF(V9&lt;&gt;"",-(1-UnosPodataka!$M$10)*'FinInd+CO2'!V17,"")</f>
        <v>0</v>
      </c>
      <c r="W28" s="2">
        <f>IF(W9&lt;&gt;"",-(1-UnosPodataka!$M$10)*'FinInd+CO2'!W17,"")</f>
        <v>0</v>
      </c>
      <c r="X28" s="2">
        <f>IF(X9&lt;&gt;"",-(1-UnosPodataka!$M$10)*'FinInd+CO2'!X17,"")</f>
        <v>0</v>
      </c>
      <c r="Y28" s="2">
        <f>IF(Y9&lt;&gt;"",-(1-UnosPodataka!$M$10)*'FinInd+CO2'!Y17,"")</f>
        <v>0</v>
      </c>
    </row>
    <row r="29" spans="1:25" x14ac:dyDescent="0.25">
      <c r="A29" s="75" t="s">
        <v>99</v>
      </c>
      <c r="B29" s="75"/>
      <c r="C29" s="75"/>
      <c r="D29" s="75"/>
      <c r="E29" s="34"/>
      <c r="F29" s="35">
        <f>IF(F9&lt;&gt;"",SUM(F22:F28),"")</f>
        <v>-64398.329284091415</v>
      </c>
      <c r="G29" s="35">
        <f t="shared" ref="G29:Y29" si="1">IF(G9&lt;&gt;"",SUM(G22:G28),"")</f>
        <v>-64398.329284091415</v>
      </c>
      <c r="H29" s="35">
        <f t="shared" si="1"/>
        <v>-64398.329284091415</v>
      </c>
      <c r="I29" s="35">
        <f t="shared" si="1"/>
        <v>-64398.329284091415</v>
      </c>
      <c r="J29" s="35">
        <f t="shared" si="1"/>
        <v>-64398.329284091415</v>
      </c>
      <c r="K29" s="35">
        <f t="shared" si="1"/>
        <v>-64398.329284091415</v>
      </c>
      <c r="L29" s="35">
        <f t="shared" si="1"/>
        <v>-64398.329284091415</v>
      </c>
      <c r="M29" s="35">
        <f t="shared" si="1"/>
        <v>-64398.329284091415</v>
      </c>
      <c r="N29" s="35">
        <f t="shared" si="1"/>
        <v>-29572.93772593957</v>
      </c>
      <c r="O29" s="35">
        <f t="shared" si="1"/>
        <v>-29572.93772593957</v>
      </c>
      <c r="P29" s="35">
        <f t="shared" si="1"/>
        <v>-29572.93772593957</v>
      </c>
      <c r="Q29" s="35">
        <f t="shared" si="1"/>
        <v>-29572.93772593957</v>
      </c>
      <c r="R29" s="35">
        <f t="shared" si="1"/>
        <v>-29572.93772593957</v>
      </c>
      <c r="S29" s="35">
        <f t="shared" si="1"/>
        <v>-29572.93772593957</v>
      </c>
      <c r="T29" s="35">
        <f t="shared" si="1"/>
        <v>-29572.93772593957</v>
      </c>
      <c r="U29" s="35">
        <f t="shared" si="1"/>
        <v>-29572.93772593957</v>
      </c>
      <c r="V29" s="35">
        <f t="shared" si="1"/>
        <v>-29572.93772593957</v>
      </c>
      <c r="W29" s="35">
        <f t="shared" si="1"/>
        <v>-29572.93772593957</v>
      </c>
      <c r="X29" s="35">
        <f t="shared" si="1"/>
        <v>-29572.93772593957</v>
      </c>
      <c r="Y29" s="35">
        <f t="shared" si="1"/>
        <v>-29572.93772593957</v>
      </c>
    </row>
    <row r="31" spans="1:25" x14ac:dyDescent="0.25">
      <c r="A31" t="s">
        <v>156</v>
      </c>
      <c r="E31" s="2">
        <f>-SUM(E11:E12)</f>
        <v>-218000</v>
      </c>
      <c r="F31" s="2">
        <f>+F29-F27-F34</f>
        <v>-54280.663026673777</v>
      </c>
      <c r="G31" s="2">
        <f t="shared" ref="G31:Y31" si="2">+G29-G27-G34</f>
        <v>-54533.840074720501</v>
      </c>
      <c r="H31" s="2">
        <f t="shared" si="2"/>
        <v>-54817.398368532849</v>
      </c>
      <c r="I31" s="2">
        <f t="shared" si="2"/>
        <v>-55134.983657602672</v>
      </c>
      <c r="J31" s="2">
        <f t="shared" si="2"/>
        <v>-55490.679181360872</v>
      </c>
      <c r="K31" s="2">
        <f t="shared" si="2"/>
        <v>-55889.058167970055</v>
      </c>
      <c r="L31" s="2">
        <f t="shared" si="2"/>
        <v>-56335.242632972338</v>
      </c>
      <c r="M31" s="2">
        <f t="shared" si="2"/>
        <v>-56834.9692337749</v>
      </c>
      <c r="N31" s="2">
        <f t="shared" si="2"/>
        <v>-22569.271468521929</v>
      </c>
      <c r="O31" s="2">
        <f t="shared" si="2"/>
        <v>-22569.271468521929</v>
      </c>
      <c r="P31" s="2">
        <f t="shared" si="2"/>
        <v>-22569.271468521929</v>
      </c>
      <c r="Q31" s="2">
        <f t="shared" si="2"/>
        <v>-22569.271468521929</v>
      </c>
      <c r="R31" s="2">
        <f t="shared" si="2"/>
        <v>-22569.271468521929</v>
      </c>
      <c r="S31" s="2">
        <f t="shared" si="2"/>
        <v>-22569.271468521929</v>
      </c>
      <c r="T31" s="2">
        <f t="shared" si="2"/>
        <v>-22569.271468521929</v>
      </c>
      <c r="U31" s="2">
        <f t="shared" si="2"/>
        <v>-22569.271468521929</v>
      </c>
      <c r="V31" s="2">
        <f t="shared" si="2"/>
        <v>-22569.271468521929</v>
      </c>
      <c r="W31" s="2">
        <f t="shared" si="2"/>
        <v>-22569.271468521929</v>
      </c>
      <c r="X31" s="2">
        <f t="shared" si="2"/>
        <v>-22569.271468521929</v>
      </c>
      <c r="Y31" s="2">
        <f t="shared" si="2"/>
        <v>-22569.271468521929</v>
      </c>
    </row>
    <row r="32" spans="1:25" x14ac:dyDescent="0.25">
      <c r="A32" s="63" t="s">
        <v>157</v>
      </c>
      <c r="B32" s="63"/>
      <c r="C32" s="63"/>
      <c r="D32" s="63"/>
      <c r="F32" s="2">
        <f>IF(F9&lt;&gt;"",F19+F29-F23,"")</f>
        <v>77882.224950549062</v>
      </c>
      <c r="G32" s="2">
        <f t="shared" ref="G32:Y32" si="3">IF(G9&lt;&gt;"",G19+G29-G23,"")</f>
        <v>79570.071937527275</v>
      </c>
      <c r="H32" s="2">
        <f t="shared" si="3"/>
        <v>81460.460562942899</v>
      </c>
      <c r="I32" s="2">
        <f t="shared" si="3"/>
        <v>83577.695823408372</v>
      </c>
      <c r="J32" s="2">
        <f t="shared" si="3"/>
        <v>85948.999315129709</v>
      </c>
      <c r="K32" s="2">
        <f t="shared" si="3"/>
        <v>88604.85922585761</v>
      </c>
      <c r="L32" s="2">
        <f t="shared" si="3"/>
        <v>91579.422325872845</v>
      </c>
      <c r="M32" s="2">
        <f t="shared" si="3"/>
        <v>94910.932997889933</v>
      </c>
      <c r="N32" s="2">
        <f t="shared" si="3"/>
        <v>98642.224950549062</v>
      </c>
      <c r="O32" s="2">
        <f t="shared" si="3"/>
        <v>98642.224950549062</v>
      </c>
      <c r="P32" s="2">
        <f t="shared" si="3"/>
        <v>98642.224950549062</v>
      </c>
      <c r="Q32" s="2">
        <f t="shared" si="3"/>
        <v>98642.224950549062</v>
      </c>
      <c r="R32" s="2">
        <f t="shared" si="3"/>
        <v>98642.224950549062</v>
      </c>
      <c r="S32" s="2">
        <f t="shared" si="3"/>
        <v>98642.224950549062</v>
      </c>
      <c r="T32" s="2">
        <f t="shared" si="3"/>
        <v>98642.224950549062</v>
      </c>
      <c r="U32" s="2">
        <f t="shared" si="3"/>
        <v>98642.224950549062</v>
      </c>
      <c r="V32" s="2">
        <f t="shared" si="3"/>
        <v>98642.224950549062</v>
      </c>
      <c r="W32" s="2">
        <f t="shared" si="3"/>
        <v>98642.224950549062</v>
      </c>
      <c r="X32" s="2">
        <f t="shared" si="3"/>
        <v>98642.224950549062</v>
      </c>
      <c r="Y32" s="2">
        <f t="shared" si="3"/>
        <v>98642.224950549062</v>
      </c>
    </row>
    <row r="33" spans="1:25" x14ac:dyDescent="0.25"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x14ac:dyDescent="0.25">
      <c r="A34" s="70" t="s">
        <v>90</v>
      </c>
      <c r="B34" s="70"/>
      <c r="C34" s="70"/>
      <c r="D34" s="70"/>
      <c r="F34" s="2">
        <f>IF(F19&lt;&gt;"",IF(F32&gt;0,F32*VAT,0),"")</f>
        <v>11682.333742582359</v>
      </c>
      <c r="G34" s="2">
        <f t="shared" ref="G34:Y34" si="4">IF(G19&lt;&gt;"",IF(G32&gt;0,G32*VAT,0),"")</f>
        <v>11935.51079062909</v>
      </c>
      <c r="H34" s="2">
        <f t="shared" si="4"/>
        <v>12219.069084441435</v>
      </c>
      <c r="I34" s="2">
        <f t="shared" si="4"/>
        <v>12536.654373511255</v>
      </c>
      <c r="J34" s="2">
        <f t="shared" si="4"/>
        <v>12892.349897269456</v>
      </c>
      <c r="K34" s="2">
        <f t="shared" si="4"/>
        <v>13290.728883878641</v>
      </c>
      <c r="L34" s="2">
        <f t="shared" si="4"/>
        <v>13736.913348880926</v>
      </c>
      <c r="M34" s="2">
        <f t="shared" si="4"/>
        <v>14236.639949683489</v>
      </c>
      <c r="N34" s="2">
        <f t="shared" si="4"/>
        <v>14796.333742582359</v>
      </c>
      <c r="O34" s="2">
        <f t="shared" si="4"/>
        <v>14796.333742582359</v>
      </c>
      <c r="P34" s="2">
        <f t="shared" si="4"/>
        <v>14796.333742582359</v>
      </c>
      <c r="Q34" s="2">
        <f t="shared" si="4"/>
        <v>14796.333742582359</v>
      </c>
      <c r="R34" s="2">
        <f t="shared" si="4"/>
        <v>14796.333742582359</v>
      </c>
      <c r="S34" s="2">
        <f t="shared" si="4"/>
        <v>14796.333742582359</v>
      </c>
      <c r="T34" s="2">
        <f t="shared" si="4"/>
        <v>14796.333742582359</v>
      </c>
      <c r="U34" s="2">
        <f t="shared" si="4"/>
        <v>14796.333742582359</v>
      </c>
      <c r="V34" s="2">
        <f t="shared" si="4"/>
        <v>14796.333742582359</v>
      </c>
      <c r="W34" s="2">
        <f t="shared" si="4"/>
        <v>14796.333742582359</v>
      </c>
      <c r="X34" s="2">
        <f t="shared" si="4"/>
        <v>14796.333742582359</v>
      </c>
      <c r="Y34" s="2">
        <f t="shared" si="4"/>
        <v>14796.333742582359</v>
      </c>
    </row>
    <row r="35" spans="1:25" x14ac:dyDescent="0.25">
      <c r="A35" s="63" t="s">
        <v>91</v>
      </c>
      <c r="B35" s="63"/>
      <c r="C35" s="63"/>
      <c r="D35" s="63"/>
      <c r="E35" s="35"/>
      <c r="F35" s="35">
        <f>IF(F19&lt;&gt;"",F32-F34,"")</f>
        <v>66199.891207966706</v>
      </c>
      <c r="G35" s="35">
        <f t="shared" ref="G35:Y35" si="5">IF(G19&lt;&gt;"",G32-G34,"")</f>
        <v>67634.561146898181</v>
      </c>
      <c r="H35" s="35">
        <f t="shared" si="5"/>
        <v>69241.391478501464</v>
      </c>
      <c r="I35" s="35">
        <f t="shared" si="5"/>
        <v>71041.041449897122</v>
      </c>
      <c r="J35" s="35">
        <f t="shared" si="5"/>
        <v>73056.649417860259</v>
      </c>
      <c r="K35" s="35">
        <f t="shared" si="5"/>
        <v>75314.130341978977</v>
      </c>
      <c r="L35" s="35">
        <f t="shared" si="5"/>
        <v>77842.508976991914</v>
      </c>
      <c r="M35" s="35">
        <f t="shared" si="5"/>
        <v>80674.29304820644</v>
      </c>
      <c r="N35" s="35">
        <f t="shared" si="5"/>
        <v>83845.891207966706</v>
      </c>
      <c r="O35" s="35">
        <f t="shared" si="5"/>
        <v>83845.891207966706</v>
      </c>
      <c r="P35" s="35">
        <f t="shared" si="5"/>
        <v>83845.891207966706</v>
      </c>
      <c r="Q35" s="35">
        <f t="shared" si="5"/>
        <v>83845.891207966706</v>
      </c>
      <c r="R35" s="35">
        <f t="shared" si="5"/>
        <v>83845.891207966706</v>
      </c>
      <c r="S35" s="35">
        <f t="shared" si="5"/>
        <v>83845.891207966706</v>
      </c>
      <c r="T35" s="35">
        <f t="shared" si="5"/>
        <v>83845.891207966706</v>
      </c>
      <c r="U35" s="35">
        <f t="shared" si="5"/>
        <v>83845.891207966706</v>
      </c>
      <c r="V35" s="35">
        <f t="shared" si="5"/>
        <v>83845.891207966706</v>
      </c>
      <c r="W35" s="35">
        <f t="shared" si="5"/>
        <v>83845.891207966706</v>
      </c>
      <c r="X35" s="35">
        <f t="shared" si="5"/>
        <v>83845.891207966706</v>
      </c>
      <c r="Y35" s="35">
        <f t="shared" si="5"/>
        <v>83845.891207966706</v>
      </c>
    </row>
    <row r="37" spans="1:25" x14ac:dyDescent="0.25">
      <c r="A37" s="39" t="s">
        <v>166</v>
      </c>
      <c r="E37" s="2">
        <f>-SUM(E11:E13)</f>
        <v>-218000</v>
      </c>
      <c r="F37" s="2">
        <f>+F35+F23-F27</f>
        <v>73934.499649814854</v>
      </c>
      <c r="G37" s="2">
        <f t="shared" ref="G37:Y37" si="6">+G35+G23-G27</f>
        <v>73681.322601768115</v>
      </c>
      <c r="H37" s="2">
        <f t="shared" si="6"/>
        <v>73397.764307955789</v>
      </c>
      <c r="I37" s="2">
        <f t="shared" si="6"/>
        <v>73080.179018885974</v>
      </c>
      <c r="J37" s="2">
        <f t="shared" si="6"/>
        <v>72724.483495127773</v>
      </c>
      <c r="K37" s="2">
        <f t="shared" si="6"/>
        <v>72326.104508518591</v>
      </c>
      <c r="L37" s="2">
        <f t="shared" si="6"/>
        <v>71879.920043516278</v>
      </c>
      <c r="M37" s="2">
        <f t="shared" si="6"/>
        <v>71380.193442713731</v>
      </c>
      <c r="N37" s="2">
        <f t="shared" si="6"/>
        <v>105645.89120796671</v>
      </c>
      <c r="O37" s="2">
        <f t="shared" si="6"/>
        <v>105645.89120796671</v>
      </c>
      <c r="P37" s="2">
        <f t="shared" si="6"/>
        <v>105645.89120796671</v>
      </c>
      <c r="Q37" s="2">
        <f t="shared" si="6"/>
        <v>105645.89120796671</v>
      </c>
      <c r="R37" s="2">
        <f t="shared" si="6"/>
        <v>105645.89120796671</v>
      </c>
      <c r="S37" s="2">
        <f t="shared" si="6"/>
        <v>105645.89120796671</v>
      </c>
      <c r="T37" s="2">
        <f t="shared" si="6"/>
        <v>105645.89120796671</v>
      </c>
      <c r="U37" s="2">
        <f t="shared" si="6"/>
        <v>105645.89120796671</v>
      </c>
      <c r="V37" s="2">
        <f t="shared" si="6"/>
        <v>105645.89120796671</v>
      </c>
      <c r="W37" s="2">
        <f t="shared" si="6"/>
        <v>105645.89120796671</v>
      </c>
      <c r="X37" s="2">
        <f t="shared" si="6"/>
        <v>105645.89120796671</v>
      </c>
      <c r="Y37" s="2">
        <f t="shared" si="6"/>
        <v>105645.89120796671</v>
      </c>
    </row>
    <row r="38" spans="1:25" x14ac:dyDescent="0.25">
      <c r="A38" s="39" t="s">
        <v>167</v>
      </c>
      <c r="E38" s="2">
        <f>+E37</f>
        <v>-218000</v>
      </c>
      <c r="F38" s="2">
        <f>+E38+F37</f>
        <v>-144065.50035018515</v>
      </c>
      <c r="G38" s="2">
        <f t="shared" ref="G38:Y38" si="7">+F38+G37</f>
        <v>-70384.177748417031</v>
      </c>
      <c r="H38" s="2">
        <f t="shared" si="7"/>
        <v>3013.5865595387586</v>
      </c>
      <c r="I38" s="2">
        <f t="shared" si="7"/>
        <v>76093.765578424733</v>
      </c>
      <c r="J38" s="2">
        <f t="shared" si="7"/>
        <v>148818.24907355249</v>
      </c>
      <c r="K38" s="2">
        <f t="shared" si="7"/>
        <v>221144.35358207108</v>
      </c>
      <c r="L38" s="2">
        <f t="shared" si="7"/>
        <v>293024.27362558735</v>
      </c>
      <c r="M38" s="2">
        <f t="shared" si="7"/>
        <v>364404.46706830105</v>
      </c>
      <c r="N38" s="2">
        <f t="shared" si="7"/>
        <v>470050.35827626777</v>
      </c>
      <c r="O38" s="2">
        <f t="shared" si="7"/>
        <v>575696.24948423449</v>
      </c>
      <c r="P38" s="2">
        <f t="shared" si="7"/>
        <v>681342.14069220121</v>
      </c>
      <c r="Q38" s="2">
        <f t="shared" si="7"/>
        <v>786988.03190016793</v>
      </c>
      <c r="R38" s="2">
        <f t="shared" si="7"/>
        <v>892633.92310813465</v>
      </c>
      <c r="S38" s="2">
        <f t="shared" si="7"/>
        <v>998279.81431610137</v>
      </c>
      <c r="T38" s="2">
        <f t="shared" si="7"/>
        <v>1103925.7055240681</v>
      </c>
      <c r="U38" s="2">
        <f t="shared" si="7"/>
        <v>1209571.5967320348</v>
      </c>
      <c r="V38" s="2">
        <f t="shared" si="7"/>
        <v>1315217.4879400015</v>
      </c>
      <c r="W38" s="2">
        <f t="shared" si="7"/>
        <v>1420863.3791479683</v>
      </c>
      <c r="X38" s="2">
        <f t="shared" si="7"/>
        <v>1526509.270355935</v>
      </c>
      <c r="Y38" s="2">
        <f t="shared" si="7"/>
        <v>1632155.1615639017</v>
      </c>
    </row>
    <row r="39" spans="1:25" x14ac:dyDescent="0.25">
      <c r="A39" s="15"/>
    </row>
    <row r="40" spans="1:25" x14ac:dyDescent="0.25">
      <c r="A40" s="39" t="s">
        <v>64</v>
      </c>
      <c r="E40" s="6">
        <f>+PomTab1!L25</f>
        <v>7.1036238532110094E-2</v>
      </c>
    </row>
    <row r="41" spans="1:25" x14ac:dyDescent="0.25">
      <c r="A41" s="39" t="s">
        <v>168</v>
      </c>
      <c r="E41" s="2">
        <f>IF(E9&lt;&gt;"",E37*(1+$E$40)^-E9,"")</f>
        <v>-218000</v>
      </c>
      <c r="F41" s="2">
        <f>IF(F9&lt;&gt;"",F37*(1+$E$40)^-F9,"")</f>
        <v>69030.810527143767</v>
      </c>
      <c r="G41" s="2">
        <f t="shared" ref="G41:Y41" si="8">IF(G9&lt;&gt;"",G37*(1+$E$40)^-G9,"")</f>
        <v>64231.65054094154</v>
      </c>
      <c r="H41" s="2">
        <f t="shared" si="8"/>
        <v>59740.703871346428</v>
      </c>
      <c r="I41" s="2">
        <f t="shared" si="8"/>
        <v>55537.067067064316</v>
      </c>
      <c r="J41" s="2">
        <f t="shared" si="8"/>
        <v>51601.202005891755</v>
      </c>
      <c r="K41" s="2">
        <f t="shared" si="8"/>
        <v>47914.844375522494</v>
      </c>
      <c r="L41" s="2">
        <f t="shared" si="8"/>
        <v>44460.918180271285</v>
      </c>
      <c r="M41" s="2">
        <f t="shared" si="8"/>
        <v>41223.455872032704</v>
      </c>
      <c r="N41" s="2">
        <f t="shared" si="8"/>
        <v>56965.920848708207</v>
      </c>
      <c r="O41" s="2">
        <f t="shared" si="8"/>
        <v>53187.66891284821</v>
      </c>
      <c r="P41" s="2">
        <f t="shared" si="8"/>
        <v>49660.008690036142</v>
      </c>
      <c r="Q41" s="2">
        <f t="shared" si="8"/>
        <v>46366.319741054504</v>
      </c>
      <c r="R41" s="2">
        <f t="shared" si="8"/>
        <v>43291.083973592766</v>
      </c>
      <c r="S41" s="2">
        <f t="shared" si="8"/>
        <v>40419.812529335693</v>
      </c>
      <c r="T41" s="2">
        <f t="shared" si="8"/>
        <v>37738.977520249318</v>
      </c>
      <c r="U41" s="2">
        <f t="shared" si="8"/>
        <v>35235.948292442292</v>
      </c>
      <c r="V41" s="2">
        <f t="shared" si="8"/>
        <v>32898.931917312439</v>
      </c>
      <c r="W41" s="2">
        <f t="shared" si="8"/>
        <v>30716.917629604661</v>
      </c>
      <c r="X41" s="2">
        <f t="shared" si="8"/>
        <v>28679.624950602214</v>
      </c>
      <c r="Y41" s="2">
        <f t="shared" si="8"/>
        <v>26777.45525203571</v>
      </c>
    </row>
    <row r="42" spans="1:25" x14ac:dyDescent="0.25">
      <c r="A42" s="39" t="s">
        <v>169</v>
      </c>
      <c r="E42" s="2">
        <f>+E41</f>
        <v>-218000</v>
      </c>
      <c r="F42" s="2">
        <f>+E42+F41</f>
        <v>-148969.18947285623</v>
      </c>
      <c r="G42" s="2">
        <f>+F42+G41</f>
        <v>-84737.538931914693</v>
      </c>
      <c r="H42" s="2">
        <f t="shared" ref="H42" si="9">+G42+H41</f>
        <v>-24996.835060568264</v>
      </c>
      <c r="I42" s="2">
        <f t="shared" ref="I42" si="10">+H42+I41</f>
        <v>30540.232006496051</v>
      </c>
      <c r="J42" s="2">
        <f t="shared" ref="J42" si="11">+I42+J41</f>
        <v>82141.434012387806</v>
      </c>
      <c r="K42" s="2">
        <f t="shared" ref="K42" si="12">+J42+K41</f>
        <v>130056.27838791031</v>
      </c>
      <c r="L42" s="2">
        <f t="shared" ref="L42" si="13">+K42+L41</f>
        <v>174517.19656818159</v>
      </c>
      <c r="M42" s="2">
        <f t="shared" ref="M42" si="14">+L42+M41</f>
        <v>215740.6524402143</v>
      </c>
      <c r="N42" s="2">
        <f t="shared" ref="N42" si="15">+M42+N41</f>
        <v>272706.57328892249</v>
      </c>
      <c r="O42" s="2">
        <f t="shared" ref="O42" si="16">+N42+O41</f>
        <v>325894.24220177071</v>
      </c>
      <c r="P42" s="2">
        <f t="shared" ref="P42" si="17">+O42+P41</f>
        <v>375554.25089180685</v>
      </c>
      <c r="Q42" s="2">
        <f t="shared" ref="Q42" si="18">+P42+Q41</f>
        <v>421920.57063286135</v>
      </c>
      <c r="R42" s="2">
        <f t="shared" ref="R42" si="19">+Q42+R41</f>
        <v>465211.65460645413</v>
      </c>
      <c r="S42" s="2">
        <f t="shared" ref="S42" si="20">+R42+S41</f>
        <v>505631.4671357898</v>
      </c>
      <c r="T42" s="2">
        <f t="shared" ref="T42" si="21">+S42+T41</f>
        <v>543370.44465603912</v>
      </c>
      <c r="U42" s="2">
        <f t="shared" ref="U42" si="22">+T42+U41</f>
        <v>578606.39294848137</v>
      </c>
      <c r="V42" s="2">
        <f t="shared" ref="V42" si="23">+U42+V41</f>
        <v>611505.32486579381</v>
      </c>
      <c r="W42" s="2">
        <f t="shared" ref="W42" si="24">+V42+W41</f>
        <v>642222.2424953985</v>
      </c>
      <c r="X42" s="2">
        <f t="shared" ref="X42" si="25">+W42+X41</f>
        <v>670901.86744600069</v>
      </c>
      <c r="Y42" s="2">
        <f t="shared" ref="Y42" si="26">+X42+Y41</f>
        <v>697679.32269803644</v>
      </c>
    </row>
    <row r="43" spans="1:25" x14ac:dyDescent="0.25">
      <c r="A43" s="39"/>
    </row>
    <row r="44" spans="1:25" x14ac:dyDescent="0.25">
      <c r="A44" s="40" t="s">
        <v>170</v>
      </c>
      <c r="E44" s="41">
        <f>+NPV(E40,E37:Y37)</f>
        <v>651405.89795003412</v>
      </c>
      <c r="F44" s="42"/>
    </row>
    <row r="45" spans="1:25" x14ac:dyDescent="0.25">
      <c r="A45" s="40" t="s">
        <v>171</v>
      </c>
      <c r="E45" s="43">
        <f>+IRR(E37:Y37,10%)</f>
        <v>0.34859553344467153</v>
      </c>
      <c r="F45" s="37"/>
    </row>
    <row r="46" spans="1:25" x14ac:dyDescent="0.25">
      <c r="A46" s="40" t="s">
        <v>172</v>
      </c>
      <c r="E46" s="41" cm="1">
        <f t="array" ref="E46">+NPV(E40,F19:Y19/-NPV(E40,E31:Y31))</f>
        <v>2.2210560506419217</v>
      </c>
      <c r="F46" s="37"/>
    </row>
    <row r="47" spans="1:25" x14ac:dyDescent="0.25">
      <c r="A47" s="40" t="s">
        <v>173</v>
      </c>
      <c r="E47" s="50" cm="1">
        <f t="array" ref="E47">+LOOKUP(INDEX(E38:Y38,MATCH(TRUE,E38:Y38&gt;0,0)),E38:Y38,E9:Y9)</f>
        <v>3</v>
      </c>
      <c r="F47" s="37" t="s">
        <v>175</v>
      </c>
    </row>
    <row r="48" spans="1:25" x14ac:dyDescent="0.25">
      <c r="A48" s="40" t="s">
        <v>174</v>
      </c>
      <c r="E48" s="50" cm="1">
        <f t="array" ref="E48">+LOOKUP(INDEX(E42:Y42,MATCH(TRUE,E42:Y42&gt;0,0)),E42:Y42,E9:Y9)</f>
        <v>4</v>
      </c>
      <c r="F48" s="37" t="s">
        <v>175</v>
      </c>
    </row>
    <row r="51" spans="1:26" x14ac:dyDescent="0.25">
      <c r="A51" s="70" t="s">
        <v>158</v>
      </c>
      <c r="B51" s="70"/>
      <c r="C51" s="70"/>
      <c r="D51" s="70"/>
      <c r="E51" s="2">
        <f>+E31</f>
        <v>-218000</v>
      </c>
      <c r="F51" s="2">
        <f t="shared" ref="F51:Y51" si="27">IF(F9&lt;&gt;"",F29,"")</f>
        <v>-64398.329284091415</v>
      </c>
      <c r="G51" s="2">
        <f t="shared" si="27"/>
        <v>-64398.329284091415</v>
      </c>
      <c r="H51" s="2">
        <f t="shared" si="27"/>
        <v>-64398.329284091415</v>
      </c>
      <c r="I51" s="2">
        <f t="shared" si="27"/>
        <v>-64398.329284091415</v>
      </c>
      <c r="J51" s="2">
        <f t="shared" si="27"/>
        <v>-64398.329284091415</v>
      </c>
      <c r="K51" s="2">
        <f t="shared" si="27"/>
        <v>-64398.329284091415</v>
      </c>
      <c r="L51" s="2">
        <f t="shared" si="27"/>
        <v>-64398.329284091415</v>
      </c>
      <c r="M51" s="2">
        <f t="shared" si="27"/>
        <v>-64398.329284091415</v>
      </c>
      <c r="N51" s="2">
        <f t="shared" si="27"/>
        <v>-29572.93772593957</v>
      </c>
      <c r="O51" s="2">
        <f t="shared" si="27"/>
        <v>-29572.93772593957</v>
      </c>
      <c r="P51" s="2">
        <f t="shared" si="27"/>
        <v>-29572.93772593957</v>
      </c>
      <c r="Q51" s="2">
        <f t="shared" si="27"/>
        <v>-29572.93772593957</v>
      </c>
      <c r="R51" s="2">
        <f t="shared" si="27"/>
        <v>-29572.93772593957</v>
      </c>
      <c r="S51" s="2">
        <f t="shared" si="27"/>
        <v>-29572.93772593957</v>
      </c>
      <c r="T51" s="2">
        <f t="shared" si="27"/>
        <v>-29572.93772593957</v>
      </c>
      <c r="U51" s="2">
        <f t="shared" si="27"/>
        <v>-29572.93772593957</v>
      </c>
      <c r="V51" s="2">
        <f t="shared" si="27"/>
        <v>-29572.93772593957</v>
      </c>
      <c r="W51" s="2">
        <f t="shared" si="27"/>
        <v>-29572.93772593957</v>
      </c>
      <c r="X51" s="2">
        <f t="shared" si="27"/>
        <v>-29572.93772593957</v>
      </c>
      <c r="Y51" s="2">
        <f t="shared" si="27"/>
        <v>-29572.93772593957</v>
      </c>
      <c r="Z51" s="2"/>
    </row>
    <row r="52" spans="1:26" x14ac:dyDescent="0.25">
      <c r="A52" s="70" t="s">
        <v>159</v>
      </c>
      <c r="B52" s="70"/>
      <c r="C52" s="70"/>
      <c r="D52" s="70"/>
      <c r="E52" s="2">
        <f>IF(E9&lt;&gt;"",E51*(1+$E$40)^-'FinInd+CO2'!E9,"")</f>
        <v>-218000</v>
      </c>
      <c r="F52" s="2">
        <f>IF(F9&lt;&gt;"",F51*(1+$E$40)^-'FinInd+CO2'!F9,"")</f>
        <v>-60127.124524144398</v>
      </c>
      <c r="G52" s="2">
        <f>IF(G9&lt;&gt;"",G51*(1+$E$40)^-'FinInd+CO2'!G9,"")</f>
        <v>-56139.206462846269</v>
      </c>
      <c r="H52" s="2">
        <f>IF(H9&lt;&gt;"",H51*(1+$E$40)^-'FinInd+CO2'!H9,"")</f>
        <v>-52415.786173385568</v>
      </c>
      <c r="I52" s="2">
        <f>IF(I9&lt;&gt;"",I51*(1+$E$40)^-'FinInd+CO2'!I9,"")</f>
        <v>-48939.320900311563</v>
      </c>
      <c r="J52" s="2">
        <f>IF(J9&lt;&gt;"",J51*(1+$E$40)^-'FinInd+CO2'!J9,"")</f>
        <v>-45693.431407497919</v>
      </c>
      <c r="K52" s="2">
        <f>IF(K9&lt;&gt;"",K51*(1+$E$40)^-'FinInd+CO2'!K9,"")</f>
        <v>-42662.824807984318</v>
      </c>
      <c r="L52" s="2">
        <f>IF(L9&lt;&gt;"",L51*(1+$E$40)^-'FinInd+CO2'!L9,"")</f>
        <v>-39833.222512111352</v>
      </c>
      <c r="M52" s="2">
        <f>IF(M9&lt;&gt;"",M51*(1+$E$40)^-'FinInd+CO2'!M9,"")</f>
        <v>-37191.292954479366</v>
      </c>
      <c r="N52" s="2">
        <f>IF(N9&lt;&gt;"",N51*(1+$E$40)^-'FinInd+CO2'!N9,"")</f>
        <v>-15946.191664410057</v>
      </c>
      <c r="O52" s="2">
        <f>IF(O9&lt;&gt;"",O51*(1+$E$40)^-'FinInd+CO2'!O9,"")</f>
        <v>-14888.564075352695</v>
      </c>
      <c r="P52" s="2">
        <f>IF(P9&lt;&gt;"",P51*(1+$E$40)^-'FinInd+CO2'!P9,"")</f>
        <v>-13901.083399155525</v>
      </c>
      <c r="Q52" s="2">
        <f>IF(Q9&lt;&gt;"",Q51*(1+$E$40)^-'FinInd+CO2'!Q9,"")</f>
        <v>-12979.097157541009</v>
      </c>
      <c r="R52" s="2">
        <f>IF(R9&lt;&gt;"",R51*(1+$E$40)^-'FinInd+CO2'!R9,"")</f>
        <v>-12118.261446810879</v>
      </c>
      <c r="S52" s="2">
        <f>IF(S9&lt;&gt;"",S51*(1+$E$40)^-'FinInd+CO2'!S9,"")</f>
        <v>-11314.520471706306</v>
      </c>
      <c r="T52" s="2">
        <f>IF(T9&lt;&gt;"",T51*(1+$E$40)^-'FinInd+CO2'!T9,"")</f>
        <v>-10564.08743668022</v>
      </c>
      <c r="U52" s="2">
        <f>IF(U9&lt;&gt;"",U51*(1+$E$40)^-'FinInd+CO2'!U9,"")</f>
        <v>-9863.4267045517026</v>
      </c>
      <c r="V52" s="2">
        <f>IF(V9&lt;&gt;"",V51*(1+$E$40)^-'FinInd+CO2'!V9,"")</f>
        <v>-9209.2371384836133</v>
      </c>
      <c r="W52" s="2">
        <f>IF(W9&lt;&gt;"",W51*(1+$E$40)^-'FinInd+CO2'!W9,"")</f>
        <v>-8598.436548799853</v>
      </c>
      <c r="X52" s="2">
        <f>IF(X9&lt;&gt;"",X51*(1+$E$40)^-'FinInd+CO2'!X9,"")</f>
        <v>-8028.1471713639548</v>
      </c>
      <c r="Y52" s="2">
        <f>IF(Y9&lt;&gt;"",Y51*(1+$E$40)^-'FinInd+CO2'!Y9,"")</f>
        <v>-7495.6821091009888</v>
      </c>
      <c r="Z52" s="2"/>
    </row>
    <row r="53" spans="1:26" x14ac:dyDescent="0.25">
      <c r="A53" s="70" t="s">
        <v>160</v>
      </c>
      <c r="B53" s="70"/>
      <c r="C53" s="70"/>
      <c r="D53" s="70"/>
      <c r="E53" s="2">
        <f>+E52</f>
        <v>-218000</v>
      </c>
      <c r="F53" s="2">
        <f>+E53+F52</f>
        <v>-278127.1245241444</v>
      </c>
      <c r="G53" s="2">
        <f t="shared" ref="G53:Y53" si="28">+F53+G52</f>
        <v>-334266.33098699065</v>
      </c>
      <c r="H53" s="2">
        <f t="shared" si="28"/>
        <v>-386682.11716037622</v>
      </c>
      <c r="I53" s="2">
        <f t="shared" si="28"/>
        <v>-435621.4380606878</v>
      </c>
      <c r="J53" s="2">
        <f t="shared" si="28"/>
        <v>-481314.8694681857</v>
      </c>
      <c r="K53" s="2">
        <f t="shared" si="28"/>
        <v>-523977.69427616999</v>
      </c>
      <c r="L53" s="2">
        <f t="shared" si="28"/>
        <v>-563810.91678828129</v>
      </c>
      <c r="M53" s="2">
        <f t="shared" si="28"/>
        <v>-601002.20974276063</v>
      </c>
      <c r="N53" s="2">
        <f t="shared" si="28"/>
        <v>-616948.40140717069</v>
      </c>
      <c r="O53" s="2">
        <f t="shared" si="28"/>
        <v>-631836.96548252343</v>
      </c>
      <c r="P53" s="2">
        <f t="shared" si="28"/>
        <v>-645738.04888167896</v>
      </c>
      <c r="Q53" s="2">
        <f t="shared" si="28"/>
        <v>-658717.14603921992</v>
      </c>
      <c r="R53" s="2">
        <f t="shared" si="28"/>
        <v>-670835.40748603083</v>
      </c>
      <c r="S53" s="2">
        <f t="shared" si="28"/>
        <v>-682149.92795773712</v>
      </c>
      <c r="T53" s="2">
        <f t="shared" si="28"/>
        <v>-692714.01539441734</v>
      </c>
      <c r="U53" s="2">
        <f t="shared" si="28"/>
        <v>-702577.44209896901</v>
      </c>
      <c r="V53" s="2">
        <f t="shared" si="28"/>
        <v>-711786.67923745257</v>
      </c>
      <c r="W53" s="2">
        <f t="shared" si="28"/>
        <v>-720385.11578625243</v>
      </c>
      <c r="X53" s="2">
        <f t="shared" si="28"/>
        <v>-728413.26295761636</v>
      </c>
      <c r="Y53" s="2">
        <f t="shared" si="28"/>
        <v>-735908.94506671734</v>
      </c>
    </row>
    <row r="54" spans="1:26" x14ac:dyDescent="0.25">
      <c r="A54" s="70" t="s">
        <v>161</v>
      </c>
      <c r="B54" s="70"/>
      <c r="C54" s="70"/>
      <c r="D54" s="70"/>
      <c r="F54" s="2">
        <f t="shared" ref="F54:Y54" si="29">IF(F9&lt;&gt;"",F19,"")</f>
        <v>128215.16267648863</v>
      </c>
      <c r="G54" s="2">
        <f t="shared" si="29"/>
        <v>128215.16267648863</v>
      </c>
      <c r="H54" s="2">
        <f t="shared" si="29"/>
        <v>128215.16267648863</v>
      </c>
      <c r="I54" s="2">
        <f t="shared" si="29"/>
        <v>128215.16267648863</v>
      </c>
      <c r="J54" s="2">
        <f t="shared" si="29"/>
        <v>128215.16267648863</v>
      </c>
      <c r="K54" s="2">
        <f t="shared" si="29"/>
        <v>128215.16267648863</v>
      </c>
      <c r="L54" s="2">
        <f t="shared" si="29"/>
        <v>128215.16267648863</v>
      </c>
      <c r="M54" s="2">
        <f t="shared" si="29"/>
        <v>128215.16267648863</v>
      </c>
      <c r="N54" s="2">
        <f t="shared" si="29"/>
        <v>128215.16267648863</v>
      </c>
      <c r="O54" s="2">
        <f t="shared" si="29"/>
        <v>128215.16267648863</v>
      </c>
      <c r="P54" s="2">
        <f t="shared" si="29"/>
        <v>128215.16267648863</v>
      </c>
      <c r="Q54" s="2">
        <f t="shared" si="29"/>
        <v>128215.16267648863</v>
      </c>
      <c r="R54" s="2">
        <f t="shared" si="29"/>
        <v>128215.16267648863</v>
      </c>
      <c r="S54" s="2">
        <f t="shared" si="29"/>
        <v>128215.16267648863</v>
      </c>
      <c r="T54" s="2">
        <f t="shared" si="29"/>
        <v>128215.16267648863</v>
      </c>
      <c r="U54" s="2">
        <f t="shared" si="29"/>
        <v>128215.16267648863</v>
      </c>
      <c r="V54" s="2">
        <f t="shared" si="29"/>
        <v>128215.16267648863</v>
      </c>
      <c r="W54" s="2">
        <f t="shared" si="29"/>
        <v>128215.16267648863</v>
      </c>
      <c r="X54" s="2">
        <f t="shared" si="29"/>
        <v>128215.16267648863</v>
      </c>
      <c r="Y54" s="2">
        <f t="shared" si="29"/>
        <v>128215.16267648863</v>
      </c>
    </row>
    <row r="55" spans="1:26" x14ac:dyDescent="0.25">
      <c r="A55" s="70" t="s">
        <v>162</v>
      </c>
      <c r="B55" s="70"/>
      <c r="C55" s="70"/>
      <c r="D55" s="70"/>
      <c r="F55" s="2">
        <f>IF(F9&lt;&gt;"",F54*(1+$E$40)^-F9,"")</f>
        <v>119711.32074131466</v>
      </c>
      <c r="G55" s="2">
        <f t="shared" ref="G55:Y55" si="30">IF(G9&lt;&gt;"",G54*(1+$E$40)^-G9,"")</f>
        <v>111771.49421702378</v>
      </c>
      <c r="H55" s="2">
        <f t="shared" si="30"/>
        <v>104358.27490786888</v>
      </c>
      <c r="I55" s="2">
        <f t="shared" si="30"/>
        <v>97436.735708303648</v>
      </c>
      <c r="J55" s="2">
        <f t="shared" si="30"/>
        <v>90974.266045230979</v>
      </c>
      <c r="K55" s="2">
        <f t="shared" si="30"/>
        <v>84940.418234507306</v>
      </c>
      <c r="L55" s="2">
        <f t="shared" si="30"/>
        <v>79306.76402781748</v>
      </c>
      <c r="M55" s="2">
        <f t="shared" si="30"/>
        <v>74046.760674045887</v>
      </c>
      <c r="N55" s="2">
        <f t="shared" si="30"/>
        <v>69135.625864097165</v>
      </c>
      <c r="O55" s="2">
        <f t="shared" si="30"/>
        <v>64550.220969973685</v>
      </c>
      <c r="P55" s="2">
        <f t="shared" si="30"/>
        <v>60268.942027995101</v>
      </c>
      <c r="Q55" s="2">
        <f t="shared" si="30"/>
        <v>56271.61795253132</v>
      </c>
      <c r="R55" s="2">
        <f t="shared" si="30"/>
        <v>52539.415500686882</v>
      </c>
      <c r="S55" s="2">
        <f t="shared" si="30"/>
        <v>49054.750540181398</v>
      </c>
      <c r="T55" s="2">
        <f t="shared" si="30"/>
        <v>45801.205202367863</v>
      </c>
      <c r="U55" s="2">
        <f t="shared" si="30"/>
        <v>42763.450530058537</v>
      </c>
      <c r="V55" s="2">
        <f t="shared" si="30"/>
        <v>39927.174255716345</v>
      </c>
      <c r="W55" s="2">
        <f t="shared" si="30"/>
        <v>37279.013369741653</v>
      </c>
      <c r="X55" s="2">
        <f t="shared" si="30"/>
        <v>34806.491161152248</v>
      </c>
      <c r="Y55" s="2">
        <f t="shared" si="30"/>
        <v>32497.958434026175</v>
      </c>
    </row>
    <row r="56" spans="1:26" x14ac:dyDescent="0.25">
      <c r="A56" s="70" t="s">
        <v>163</v>
      </c>
      <c r="B56" s="70"/>
      <c r="C56" s="70"/>
      <c r="D56" s="70"/>
      <c r="F56" s="2">
        <f>+E56+F55</f>
        <v>119711.32074131466</v>
      </c>
      <c r="G56" s="2">
        <f>+F56+G55</f>
        <v>231482.81495833845</v>
      </c>
      <c r="H56" s="2">
        <f t="shared" ref="H56:Y56" si="31">IF(H9&lt;&gt;"",G56+H55,"")</f>
        <v>335841.08986620733</v>
      </c>
      <c r="I56" s="2">
        <f t="shared" si="31"/>
        <v>433277.82557451096</v>
      </c>
      <c r="J56" s="2">
        <f t="shared" si="31"/>
        <v>524252.09161974193</v>
      </c>
      <c r="K56" s="2">
        <f t="shared" si="31"/>
        <v>609192.50985424919</v>
      </c>
      <c r="L56" s="2">
        <f t="shared" si="31"/>
        <v>688499.27388206671</v>
      </c>
      <c r="M56" s="2">
        <f t="shared" si="31"/>
        <v>762546.0345561126</v>
      </c>
      <c r="N56" s="2">
        <f t="shared" si="31"/>
        <v>831681.66042020975</v>
      </c>
      <c r="O56" s="2">
        <f t="shared" si="31"/>
        <v>896231.88139018347</v>
      </c>
      <c r="P56" s="2">
        <f t="shared" si="31"/>
        <v>956500.8234181786</v>
      </c>
      <c r="Q56" s="2">
        <f t="shared" si="31"/>
        <v>1012772.4413707099</v>
      </c>
      <c r="R56" s="2">
        <f t="shared" si="31"/>
        <v>1065311.8568713968</v>
      </c>
      <c r="S56" s="2">
        <f t="shared" si="31"/>
        <v>1114366.6074115781</v>
      </c>
      <c r="T56" s="2">
        <f t="shared" si="31"/>
        <v>1160167.8126139459</v>
      </c>
      <c r="U56" s="2">
        <f t="shared" si="31"/>
        <v>1202931.2631440044</v>
      </c>
      <c r="V56" s="2">
        <f t="shared" si="31"/>
        <v>1242858.4373997208</v>
      </c>
      <c r="W56" s="2">
        <f t="shared" si="31"/>
        <v>1280137.4507694624</v>
      </c>
      <c r="X56" s="2">
        <f t="shared" si="31"/>
        <v>1314943.9419306146</v>
      </c>
      <c r="Y56" s="2">
        <f t="shared" si="31"/>
        <v>1347441.9003646409</v>
      </c>
    </row>
    <row r="57" spans="1:26" x14ac:dyDescent="0.25">
      <c r="A57" s="70" t="s">
        <v>164</v>
      </c>
      <c r="B57" s="70"/>
      <c r="C57" s="70"/>
      <c r="D57" s="70"/>
      <c r="F57" s="2">
        <f t="shared" ref="F57:Y57" si="32">IF(F9&lt;&gt;"",F56+F53,"")</f>
        <v>-158415.80378282972</v>
      </c>
      <c r="G57" s="2">
        <f t="shared" si="32"/>
        <v>-102783.5160286522</v>
      </c>
      <c r="H57" s="2">
        <f t="shared" si="32"/>
        <v>-50841.027294168889</v>
      </c>
      <c r="I57" s="2">
        <f t="shared" si="32"/>
        <v>-2343.612486176833</v>
      </c>
      <c r="J57" s="2">
        <f t="shared" si="32"/>
        <v>42937.222151556227</v>
      </c>
      <c r="K57" s="2">
        <f t="shared" si="32"/>
        <v>85214.8155780792</v>
      </c>
      <c r="L57" s="2">
        <f t="shared" si="32"/>
        <v>124688.35709378542</v>
      </c>
      <c r="M57" s="2">
        <f t="shared" si="32"/>
        <v>161543.82481335197</v>
      </c>
      <c r="N57" s="2">
        <f t="shared" si="32"/>
        <v>214733.25901303906</v>
      </c>
      <c r="O57" s="2">
        <f t="shared" si="32"/>
        <v>264394.91590766003</v>
      </c>
      <c r="P57" s="2">
        <f t="shared" si="32"/>
        <v>310762.77453649964</v>
      </c>
      <c r="Q57" s="2">
        <f t="shared" si="32"/>
        <v>354055.29533148999</v>
      </c>
      <c r="R57" s="2">
        <f t="shared" si="32"/>
        <v>394476.44938536594</v>
      </c>
      <c r="S57" s="2">
        <f t="shared" si="32"/>
        <v>432216.67945384094</v>
      </c>
      <c r="T57" s="2">
        <f t="shared" si="32"/>
        <v>467453.79721952858</v>
      </c>
      <c r="U57" s="2">
        <f t="shared" si="32"/>
        <v>500353.82104503538</v>
      </c>
      <c r="V57" s="2">
        <f t="shared" si="32"/>
        <v>531071.7581622682</v>
      </c>
      <c r="W57" s="2">
        <f t="shared" si="32"/>
        <v>559752.33498320996</v>
      </c>
      <c r="X57" s="2">
        <f t="shared" si="32"/>
        <v>586530.67897299828</v>
      </c>
      <c r="Y57" s="2">
        <f t="shared" si="32"/>
        <v>611532.95529792353</v>
      </c>
    </row>
    <row r="58" spans="1:26" x14ac:dyDescent="0.25">
      <c r="A58" s="36" t="s">
        <v>165</v>
      </c>
      <c r="B58" s="36"/>
      <c r="C58" s="36"/>
      <c r="D58" s="3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60" spans="1:26" x14ac:dyDescent="0.25">
      <c r="A60" s="70" t="s">
        <v>92</v>
      </c>
      <c r="B60" s="70"/>
      <c r="C60" s="70"/>
      <c r="D60" s="70"/>
      <c r="E60" s="2">
        <f>E11</f>
        <v>173000</v>
      </c>
      <c r="F60" s="2">
        <f t="shared" ref="F60:Y60" si="33">IF(F9="",E60,-F53)</f>
        <v>278127.1245241444</v>
      </c>
      <c r="G60" s="2">
        <f t="shared" si="33"/>
        <v>334266.33098699065</v>
      </c>
      <c r="H60" s="2">
        <f t="shared" si="33"/>
        <v>386682.11716037622</v>
      </c>
      <c r="I60" s="2">
        <f t="shared" si="33"/>
        <v>435621.4380606878</v>
      </c>
      <c r="J60" s="2">
        <f t="shared" si="33"/>
        <v>481314.8694681857</v>
      </c>
      <c r="K60" s="2">
        <f t="shared" si="33"/>
        <v>523977.69427616999</v>
      </c>
      <c r="L60" s="2">
        <f t="shared" si="33"/>
        <v>563810.91678828129</v>
      </c>
      <c r="M60" s="2">
        <f t="shared" si="33"/>
        <v>601002.20974276063</v>
      </c>
      <c r="N60" s="2">
        <f t="shared" si="33"/>
        <v>616948.40140717069</v>
      </c>
      <c r="O60" s="2">
        <f t="shared" si="33"/>
        <v>631836.96548252343</v>
      </c>
      <c r="P60" s="2">
        <f t="shared" si="33"/>
        <v>645738.04888167896</v>
      </c>
      <c r="Q60" s="2">
        <f t="shared" si="33"/>
        <v>658717.14603921992</v>
      </c>
      <c r="R60" s="2">
        <f t="shared" si="33"/>
        <v>670835.40748603083</v>
      </c>
      <c r="S60" s="2">
        <f t="shared" si="33"/>
        <v>682149.92795773712</v>
      </c>
      <c r="T60" s="2">
        <f t="shared" si="33"/>
        <v>692714.01539441734</v>
      </c>
      <c r="U60" s="2">
        <f t="shared" si="33"/>
        <v>702577.44209896901</v>
      </c>
      <c r="V60" s="2">
        <f t="shared" si="33"/>
        <v>711786.67923745257</v>
      </c>
      <c r="W60" s="2">
        <f t="shared" si="33"/>
        <v>720385.11578625243</v>
      </c>
      <c r="X60" s="2">
        <f t="shared" si="33"/>
        <v>728413.26295761636</v>
      </c>
      <c r="Y60" s="2">
        <f t="shared" si="33"/>
        <v>735908.94506671734</v>
      </c>
    </row>
    <row r="61" spans="1:26" x14ac:dyDescent="0.25">
      <c r="A61" s="70" t="s">
        <v>100</v>
      </c>
      <c r="B61" s="70"/>
      <c r="C61" s="70"/>
      <c r="D61" s="70"/>
      <c r="F61" s="2">
        <f t="shared" ref="F61:Y61" si="34">IF(F9="",E61,F56)</f>
        <v>119711.32074131466</v>
      </c>
      <c r="G61" s="2">
        <f t="shared" si="34"/>
        <v>231482.81495833845</v>
      </c>
      <c r="H61" s="2">
        <f t="shared" si="34"/>
        <v>335841.08986620733</v>
      </c>
      <c r="I61" s="2">
        <f t="shared" si="34"/>
        <v>433277.82557451096</v>
      </c>
      <c r="J61" s="2">
        <f t="shared" si="34"/>
        <v>524252.09161974193</v>
      </c>
      <c r="K61" s="2">
        <f t="shared" si="34"/>
        <v>609192.50985424919</v>
      </c>
      <c r="L61" s="2">
        <f t="shared" si="34"/>
        <v>688499.27388206671</v>
      </c>
      <c r="M61" s="2">
        <f t="shared" si="34"/>
        <v>762546.0345561126</v>
      </c>
      <c r="N61" s="2">
        <f t="shared" si="34"/>
        <v>831681.66042020975</v>
      </c>
      <c r="O61" s="2">
        <f t="shared" si="34"/>
        <v>896231.88139018347</v>
      </c>
      <c r="P61" s="2">
        <f t="shared" si="34"/>
        <v>956500.8234181786</v>
      </c>
      <c r="Q61" s="2">
        <f t="shared" si="34"/>
        <v>1012772.4413707099</v>
      </c>
      <c r="R61" s="2">
        <f t="shared" si="34"/>
        <v>1065311.8568713968</v>
      </c>
      <c r="S61" s="2">
        <f t="shared" si="34"/>
        <v>1114366.6074115781</v>
      </c>
      <c r="T61" s="2">
        <f t="shared" si="34"/>
        <v>1160167.8126139459</v>
      </c>
      <c r="U61" s="2">
        <f t="shared" si="34"/>
        <v>1202931.2631440044</v>
      </c>
      <c r="V61" s="2">
        <f t="shared" si="34"/>
        <v>1242858.4373997208</v>
      </c>
      <c r="W61" s="2">
        <f t="shared" si="34"/>
        <v>1280137.4507694624</v>
      </c>
      <c r="X61" s="2">
        <f t="shared" si="34"/>
        <v>1314943.9419306146</v>
      </c>
      <c r="Y61" s="2">
        <f t="shared" si="34"/>
        <v>1347441.9003646409</v>
      </c>
    </row>
  </sheetData>
  <sheetProtection selectLockedCells="1"/>
  <mergeCells count="34">
    <mergeCell ref="N7:O7"/>
    <mergeCell ref="A28:D28"/>
    <mergeCell ref="A61:D61"/>
    <mergeCell ref="A17:D17"/>
    <mergeCell ref="A20:D20"/>
    <mergeCell ref="A22:D22"/>
    <mergeCell ref="A24:D24"/>
    <mergeCell ref="A25:D25"/>
    <mergeCell ref="A26:D26"/>
    <mergeCell ref="A29:D29"/>
    <mergeCell ref="A32:D32"/>
    <mergeCell ref="A14:D14"/>
    <mergeCell ref="A51:D51"/>
    <mergeCell ref="A60:D60"/>
    <mergeCell ref="A34:D34"/>
    <mergeCell ref="A35:D35"/>
    <mergeCell ref="A56:D56"/>
    <mergeCell ref="A57:D57"/>
    <mergeCell ref="A16:D16"/>
    <mergeCell ref="A21:D21"/>
    <mergeCell ref="A27:D27"/>
    <mergeCell ref="A52:D52"/>
    <mergeCell ref="A19:D19"/>
    <mergeCell ref="A53:D53"/>
    <mergeCell ref="A54:D54"/>
    <mergeCell ref="A55:D55"/>
    <mergeCell ref="F3:I3"/>
    <mergeCell ref="A18:D18"/>
    <mergeCell ref="I7:J7"/>
    <mergeCell ref="A9:D9"/>
    <mergeCell ref="A11:D11"/>
    <mergeCell ref="A12:D12"/>
    <mergeCell ref="A13:D13"/>
    <mergeCell ref="A7:E7"/>
  </mergeCells>
  <dataValidations count="1">
    <dataValidation allowBlank="1" showInputMessage="1" showErrorMessage="1" promptTitle="CashFlow" prompt="Ne obuhvata amortizaciju, ali obuhvata otplatu glavnice." sqref="A37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N3" sqref="N3"/>
    </sheetView>
  </sheetViews>
  <sheetFormatPr defaultRowHeight="15" x14ac:dyDescent="0.25"/>
  <sheetData>
    <row r="3" spans="1:9" ht="16.5" x14ac:dyDescent="0.35">
      <c r="F3" s="60" t="s">
        <v>150</v>
      </c>
      <c r="G3" s="60"/>
      <c r="H3" s="60"/>
      <c r="I3" s="60"/>
    </row>
    <row r="7" spans="1:9" ht="15" customHeight="1" x14ac:dyDescent="0.25">
      <c r="A7" s="62" t="s">
        <v>101</v>
      </c>
      <c r="B7" s="62"/>
      <c r="C7" s="62"/>
      <c r="D7" s="62"/>
    </row>
    <row r="8" spans="1:9" ht="15" customHeight="1" x14ac:dyDescent="0.25">
      <c r="A8" s="62"/>
      <c r="B8" s="62"/>
      <c r="C8" s="62"/>
      <c r="D8" s="62"/>
    </row>
    <row r="9" spans="1:9" x14ac:dyDescent="0.25">
      <c r="A9" s="62"/>
      <c r="B9" s="62"/>
      <c r="C9" s="62"/>
      <c r="D9" s="62"/>
    </row>
    <row r="11" spans="1:9" x14ac:dyDescent="0.25">
      <c r="A11" s="64" t="s">
        <v>129</v>
      </c>
      <c r="B11" s="64"/>
      <c r="C11" s="65" t="s">
        <v>130</v>
      </c>
      <c r="D11" s="65"/>
    </row>
    <row r="12" spans="1:9" x14ac:dyDescent="0.25">
      <c r="A12" s="64"/>
      <c r="B12" s="64"/>
      <c r="C12" s="65"/>
      <c r="D12" s="65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11</vt:i4>
      </vt:variant>
    </vt:vector>
  </HeadingPairs>
  <TitlesOfParts>
    <vt:vector size="27" baseType="lpstr">
      <vt:lpstr>Pocetna</vt:lpstr>
      <vt:lpstr>KonvFaktor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CirkP</vt:lpstr>
      <vt:lpstr>EFAKTOR</vt:lpstr>
      <vt:lpstr>ElEn</vt:lpstr>
      <vt:lpstr>Equity</vt:lpstr>
      <vt:lpstr>etagrid</vt:lpstr>
      <vt:lpstr>Gorivo</vt:lpstr>
      <vt:lpstr>Investment</vt:lpstr>
      <vt:lpstr>LCoE</vt:lpstr>
      <vt:lpstr>LOAN</vt:lpstr>
      <vt:lpstr>PROJEKAT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2022-07-26T08:08:24Z</cp:lastPrinted>
  <dcterms:created xsi:type="dcterms:W3CDTF">2022-05-19T14:49:19Z</dcterms:created>
  <dcterms:modified xsi:type="dcterms:W3CDTF">2023-07-21T07:55:34Z</dcterms:modified>
</cp:coreProperties>
</file>