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Miroslav\OneDrive\Documents\Organizacije\Kroka\Radionica\"/>
    </mc:Choice>
  </mc:AlternateContent>
  <xr:revisionPtr revIDLastSave="0" documentId="13_ncr:1_{1B3AE133-8CD9-4922-9F18-84F2289BA7C9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Pocetna" sheetId="1" r:id="rId1"/>
    <sheet name="PomTab1" sheetId="4" r:id="rId2"/>
    <sheet name="UnosPodataka" sheetId="2" r:id="rId3"/>
    <sheet name="Ustede" sheetId="5" r:id="rId4"/>
    <sheet name="Annuity" sheetId="6" r:id="rId5"/>
    <sheet name="FinaIndicators" sheetId="7" r:id="rId6"/>
    <sheet name="FinInd+CO2" sheetId="9" r:id="rId7"/>
    <sheet name="GraphFina" sheetId="10" r:id="rId8"/>
    <sheet name="Graf+CO2" sheetId="11" r:id="rId9"/>
    <sheet name="LCoEE" sheetId="12" r:id="rId10"/>
    <sheet name="Osetljivost" sheetId="13" r:id="rId11"/>
    <sheet name="AkoESCO" sheetId="14" r:id="rId12"/>
    <sheet name="ESCOGrafFina" sheetId="15" r:id="rId13"/>
    <sheet name="REZIME" sheetId="16" r:id="rId14"/>
  </sheets>
  <externalReferences>
    <externalReference r:id="rId15"/>
  </externalReferences>
  <definedNames>
    <definedName name="EQUITY">UnosPodataka!$F$23</definedName>
    <definedName name="FIRR">FinaIndicators!$E$44</definedName>
    <definedName name="FNPV">FinaIndicators!$E$43</definedName>
    <definedName name="InfRate" comment="Inflacija">0</definedName>
    <definedName name="Investment">UnosPodataka!$F$16</definedName>
    <definedName name="Kurs_EUR" comment="Obračunski kurs EUR na dan 11-4-2023">117.288</definedName>
    <definedName name="LCOEE">LCoEE!$E$19</definedName>
    <definedName name="LOAN">UnosPodataka!$F$26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RIJANTA">Ustede!$B$10</definedName>
    <definedName name="VAT" comment="Porez na poslovanje kompanije">0.15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9" l="1"/>
  <c r="I23" i="9"/>
  <c r="J23" i="9"/>
  <c r="K23" i="9"/>
  <c r="L23" i="9"/>
  <c r="M23" i="9"/>
  <c r="N23" i="9"/>
  <c r="O23" i="9"/>
  <c r="P23" i="9"/>
  <c r="Q23" i="9"/>
  <c r="R23" i="9"/>
  <c r="S23" i="9"/>
  <c r="T23" i="9"/>
  <c r="G23" i="9"/>
  <c r="F23" i="9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G22" i="7"/>
  <c r="F22" i="7"/>
  <c r="F16" i="2"/>
  <c r="P39" i="4"/>
  <c r="L24" i="4"/>
  <c r="L23" i="4"/>
  <c r="F24" i="2" l="1"/>
  <c r="K24" i="4"/>
  <c r="K22" i="4"/>
  <c r="E12" i="16"/>
  <c r="E9" i="16"/>
  <c r="F10" i="14"/>
  <c r="E13" i="9" l="1"/>
  <c r="E13" i="7"/>
  <c r="G10" i="14"/>
  <c r="M20" i="2"/>
  <c r="H10" i="14" l="1"/>
  <c r="P13" i="5"/>
  <c r="F27" i="9" l="1"/>
  <c r="F26" i="7"/>
  <c r="E10" i="16"/>
  <c r="I10" i="14"/>
  <c r="W9" i="4"/>
  <c r="J10" i="14" l="1"/>
  <c r="F12" i="12"/>
  <c r="F26" i="9"/>
  <c r="F25" i="9"/>
  <c r="G9" i="9"/>
  <c r="E12" i="9"/>
  <c r="F25" i="7"/>
  <c r="F24" i="7"/>
  <c r="H9" i="9" l="1"/>
  <c r="G27" i="9"/>
  <c r="G26" i="9"/>
  <c r="K10" i="14"/>
  <c r="H26" i="9" l="1"/>
  <c r="I9" i="9"/>
  <c r="H27" i="9"/>
  <c r="L10" i="14"/>
  <c r="G9" i="7"/>
  <c r="J9" i="9" l="1"/>
  <c r="I27" i="9"/>
  <c r="I26" i="9"/>
  <c r="G26" i="7"/>
  <c r="M10" i="14"/>
  <c r="G25" i="7"/>
  <c r="G24" i="7"/>
  <c r="H9" i="7"/>
  <c r="E12" i="7"/>
  <c r="K9" i="9" l="1"/>
  <c r="J27" i="9"/>
  <c r="J26" i="9"/>
  <c r="H26" i="7"/>
  <c r="N10" i="14"/>
  <c r="I9" i="7"/>
  <c r="H25" i="7"/>
  <c r="H24" i="7"/>
  <c r="AA11" i="4"/>
  <c r="AA12" i="4"/>
  <c r="AA13" i="4"/>
  <c r="AA14" i="4"/>
  <c r="AA15" i="4"/>
  <c r="AA16" i="4"/>
  <c r="Y11" i="4"/>
  <c r="Y12" i="4"/>
  <c r="Y13" i="4"/>
  <c r="Y14" i="4"/>
  <c r="Y15" i="4"/>
  <c r="Y16" i="4"/>
  <c r="W12" i="4"/>
  <c r="W13" i="4"/>
  <c r="W14" i="4"/>
  <c r="W15" i="4"/>
  <c r="W16" i="4"/>
  <c r="W11" i="4"/>
  <c r="AA10" i="4"/>
  <c r="Y10" i="4"/>
  <c r="W10" i="4"/>
  <c r="AA9" i="4"/>
  <c r="Y9" i="4"/>
  <c r="AA8" i="4"/>
  <c r="Y8" i="4"/>
  <c r="W8" i="4"/>
  <c r="Q10" i="5"/>
  <c r="L9" i="9" l="1"/>
  <c r="K27" i="9"/>
  <c r="K26" i="9"/>
  <c r="I26" i="7"/>
  <c r="O10" i="14"/>
  <c r="J9" i="7"/>
  <c r="I25" i="7"/>
  <c r="I24" i="7"/>
  <c r="AA17" i="4"/>
  <c r="AA18" i="4" s="1"/>
  <c r="AA19" i="4" s="1"/>
  <c r="W17" i="4"/>
  <c r="W18" i="4" s="1"/>
  <c r="W19" i="4" s="1"/>
  <c r="Y17" i="4"/>
  <c r="M9" i="9" l="1"/>
  <c r="L27" i="9"/>
  <c r="L26" i="9"/>
  <c r="J26" i="7"/>
  <c r="P10" i="14"/>
  <c r="K9" i="7"/>
  <c r="J25" i="7"/>
  <c r="J24" i="7"/>
  <c r="J9" i="5"/>
  <c r="Y18" i="4"/>
  <c r="Y19" i="4" s="1"/>
  <c r="N9" i="9" l="1"/>
  <c r="M27" i="9"/>
  <c r="M26" i="9"/>
  <c r="K26" i="7"/>
  <c r="Q10" i="14"/>
  <c r="L9" i="7"/>
  <c r="K25" i="7"/>
  <c r="K24" i="7"/>
  <c r="J10" i="5"/>
  <c r="J11" i="5"/>
  <c r="O9" i="9" l="1"/>
  <c r="N27" i="9"/>
  <c r="N26" i="9"/>
  <c r="L26" i="7"/>
  <c r="R10" i="14"/>
  <c r="M9" i="7"/>
  <c r="L25" i="7"/>
  <c r="L24" i="7"/>
  <c r="F10" i="12"/>
  <c r="F24" i="9"/>
  <c r="F23" i="7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5" i="4"/>
  <c r="P9" i="9" l="1"/>
  <c r="O27" i="9"/>
  <c r="O26" i="9"/>
  <c r="M26" i="7"/>
  <c r="S10" i="14"/>
  <c r="N9" i="7"/>
  <c r="M25" i="7"/>
  <c r="M24" i="7"/>
  <c r="G10" i="12"/>
  <c r="F26" i="2"/>
  <c r="K23" i="4" s="1"/>
  <c r="G23" i="7"/>
  <c r="B26" i="6"/>
  <c r="H24" i="9"/>
  <c r="I14" i="9"/>
  <c r="I18" i="9" s="1"/>
  <c r="G24" i="9"/>
  <c r="F14" i="9"/>
  <c r="F18" i="9" s="1"/>
  <c r="G14" i="9"/>
  <c r="G18" i="9" s="1"/>
  <c r="G14" i="7"/>
  <c r="G15" i="7"/>
  <c r="F17" i="9"/>
  <c r="H17" i="9"/>
  <c r="H14" i="9"/>
  <c r="H18" i="9" s="1"/>
  <c r="G17" i="9"/>
  <c r="F14" i="7"/>
  <c r="F16" i="12" s="1"/>
  <c r="F15" i="7"/>
  <c r="Q9" i="9" l="1"/>
  <c r="P27" i="9"/>
  <c r="P26" i="9"/>
  <c r="N26" i="7"/>
  <c r="K25" i="4"/>
  <c r="L25" i="4" s="1"/>
  <c r="E13" i="16"/>
  <c r="E11" i="16"/>
  <c r="T10" i="14"/>
  <c r="G16" i="12"/>
  <c r="G17" i="12" s="1"/>
  <c r="O9" i="7"/>
  <c r="N25" i="7"/>
  <c r="N24" i="7"/>
  <c r="H10" i="12"/>
  <c r="E11" i="9"/>
  <c r="E31" i="9" s="1"/>
  <c r="E11" i="7"/>
  <c r="E30" i="7" s="1"/>
  <c r="E9" i="6"/>
  <c r="H15" i="7"/>
  <c r="H18" i="7" s="1"/>
  <c r="H14" i="7"/>
  <c r="F17" i="12"/>
  <c r="H23" i="7"/>
  <c r="I23" i="7"/>
  <c r="E26" i="6"/>
  <c r="B27" i="6"/>
  <c r="I14" i="7"/>
  <c r="I24" i="9"/>
  <c r="I17" i="9"/>
  <c r="I28" i="9" s="1"/>
  <c r="I15" i="7"/>
  <c r="I27" i="7" s="1"/>
  <c r="I12" i="14" s="1"/>
  <c r="I13" i="14" s="1"/>
  <c r="E25" i="6"/>
  <c r="G28" i="9"/>
  <c r="G19" i="9"/>
  <c r="F27" i="7"/>
  <c r="F12" i="14" s="1"/>
  <c r="F18" i="7"/>
  <c r="H28" i="9"/>
  <c r="H19" i="9"/>
  <c r="G27" i="7"/>
  <c r="G12" i="14" s="1"/>
  <c r="G13" i="14" s="1"/>
  <c r="G18" i="7"/>
  <c r="F28" i="9"/>
  <c r="F19" i="9"/>
  <c r="E39" i="7" l="1"/>
  <c r="E40" i="9"/>
  <c r="E37" i="9"/>
  <c r="E51" i="9"/>
  <c r="R9" i="9"/>
  <c r="Q27" i="9"/>
  <c r="Q26" i="9"/>
  <c r="E36" i="7"/>
  <c r="O26" i="7"/>
  <c r="H16" i="12"/>
  <c r="H17" i="12" s="1"/>
  <c r="F13" i="14"/>
  <c r="U10" i="14"/>
  <c r="P9" i="7"/>
  <c r="O25" i="7"/>
  <c r="O24" i="7"/>
  <c r="H27" i="7"/>
  <c r="H12" i="14" s="1"/>
  <c r="H13" i="14" s="1"/>
  <c r="I10" i="12"/>
  <c r="I19" i="9"/>
  <c r="I18" i="7"/>
  <c r="E27" i="6"/>
  <c r="B28" i="6"/>
  <c r="J23" i="7"/>
  <c r="J15" i="7"/>
  <c r="J18" i="7" s="1"/>
  <c r="J14" i="7"/>
  <c r="J24" i="9"/>
  <c r="J17" i="9"/>
  <c r="J14" i="9"/>
  <c r="J18" i="9" s="1"/>
  <c r="E59" i="7"/>
  <c r="E23" i="6"/>
  <c r="E21" i="6"/>
  <c r="E19" i="6"/>
  <c r="E17" i="6"/>
  <c r="E16" i="6"/>
  <c r="E14" i="6"/>
  <c r="D13" i="6"/>
  <c r="C13" i="6"/>
  <c r="E24" i="6"/>
  <c r="E22" i="6"/>
  <c r="E20" i="6"/>
  <c r="E18" i="6"/>
  <c r="E15" i="6"/>
  <c r="E13" i="6"/>
  <c r="H25" i="9"/>
  <c r="I25" i="9"/>
  <c r="E60" i="9"/>
  <c r="K25" i="9"/>
  <c r="G25" i="9"/>
  <c r="J25" i="9"/>
  <c r="F54" i="9"/>
  <c r="F53" i="7"/>
  <c r="G53" i="7"/>
  <c r="G54" i="7" s="1"/>
  <c r="H54" i="9"/>
  <c r="H55" i="9" s="1"/>
  <c r="G54" i="9"/>
  <c r="G55" i="9" s="1"/>
  <c r="H53" i="7"/>
  <c r="H54" i="7" s="1"/>
  <c r="E52" i="9" l="1"/>
  <c r="E53" i="9" s="1"/>
  <c r="I54" i="9"/>
  <c r="I55" i="9" s="1"/>
  <c r="F55" i="9"/>
  <c r="F56" i="9" s="1"/>
  <c r="E38" i="9"/>
  <c r="E41" i="9"/>
  <c r="E42" i="9" s="1"/>
  <c r="S9" i="9"/>
  <c r="R27" i="9"/>
  <c r="R22" i="9"/>
  <c r="R26" i="9"/>
  <c r="E40" i="7"/>
  <c r="E41" i="7" s="1"/>
  <c r="E37" i="7"/>
  <c r="F54" i="7"/>
  <c r="F55" i="7" s="1"/>
  <c r="E50" i="7"/>
  <c r="E51" i="7" s="1"/>
  <c r="E52" i="7" s="1"/>
  <c r="P26" i="7"/>
  <c r="J53" i="7"/>
  <c r="J54" i="7" s="1"/>
  <c r="I53" i="7"/>
  <c r="I54" i="7" s="1"/>
  <c r="I16" i="12"/>
  <c r="I17" i="12" s="1"/>
  <c r="V10" i="14"/>
  <c r="U12" i="14"/>
  <c r="U13" i="14"/>
  <c r="Q9" i="7"/>
  <c r="P25" i="7"/>
  <c r="P24" i="7"/>
  <c r="J10" i="12"/>
  <c r="F22" i="9"/>
  <c r="F21" i="7"/>
  <c r="J27" i="7"/>
  <c r="J12" i="14" s="1"/>
  <c r="J28" i="9"/>
  <c r="J19" i="9"/>
  <c r="E28" i="6"/>
  <c r="D28" i="6"/>
  <c r="B29" i="6"/>
  <c r="C28" i="6"/>
  <c r="K24" i="9"/>
  <c r="K14" i="9"/>
  <c r="K18" i="9" s="1"/>
  <c r="K17" i="9"/>
  <c r="K23" i="7"/>
  <c r="K15" i="7"/>
  <c r="K18" i="7" s="1"/>
  <c r="K14" i="7"/>
  <c r="C14" i="6"/>
  <c r="F61" i="9" l="1"/>
  <c r="G56" i="9"/>
  <c r="G61" i="9" s="1"/>
  <c r="J54" i="9"/>
  <c r="J55" i="9" s="1"/>
  <c r="F29" i="9"/>
  <c r="F32" i="9" s="1"/>
  <c r="T9" i="9"/>
  <c r="S27" i="9"/>
  <c r="S22" i="9"/>
  <c r="S26" i="9"/>
  <c r="F60" i="7"/>
  <c r="G55" i="7"/>
  <c r="H55" i="7" s="1"/>
  <c r="Q26" i="7"/>
  <c r="K53" i="7"/>
  <c r="K54" i="7" s="1"/>
  <c r="F28" i="7"/>
  <c r="J16" i="12"/>
  <c r="J17" i="12" s="1"/>
  <c r="W10" i="14"/>
  <c r="V12" i="14"/>
  <c r="V13" i="14"/>
  <c r="J13" i="14"/>
  <c r="R9" i="7"/>
  <c r="Q25" i="7"/>
  <c r="Q24" i="7"/>
  <c r="K10" i="12"/>
  <c r="K27" i="7"/>
  <c r="K12" i="14" s="1"/>
  <c r="K13" i="14" s="1"/>
  <c r="K19" i="9"/>
  <c r="L24" i="9"/>
  <c r="L14" i="9"/>
  <c r="L18" i="9" s="1"/>
  <c r="L17" i="9"/>
  <c r="L28" i="9" s="1"/>
  <c r="L25" i="9"/>
  <c r="K28" i="9"/>
  <c r="L23" i="7"/>
  <c r="L14" i="7"/>
  <c r="L15" i="7"/>
  <c r="L27" i="7" s="1"/>
  <c r="L12" i="14" s="1"/>
  <c r="L13" i="14" s="1"/>
  <c r="E29" i="6"/>
  <c r="D29" i="6"/>
  <c r="C29" i="6"/>
  <c r="B30" i="6"/>
  <c r="D14" i="6"/>
  <c r="H56" i="9"/>
  <c r="G60" i="7" l="1"/>
  <c r="K54" i="9"/>
  <c r="K55" i="9" s="1"/>
  <c r="U9" i="9"/>
  <c r="T27" i="9"/>
  <c r="T22" i="9"/>
  <c r="T26" i="9"/>
  <c r="F31" i="7"/>
  <c r="R26" i="7"/>
  <c r="X10" i="14"/>
  <c r="W13" i="14"/>
  <c r="W12" i="14"/>
  <c r="K16" i="12"/>
  <c r="K17" i="12" s="1"/>
  <c r="S9" i="7"/>
  <c r="R21" i="7"/>
  <c r="R25" i="7"/>
  <c r="R24" i="7"/>
  <c r="L10" i="12"/>
  <c r="C15" i="6"/>
  <c r="D15" i="6" s="1"/>
  <c r="G21" i="7"/>
  <c r="G22" i="9"/>
  <c r="L18" i="7"/>
  <c r="L19" i="9"/>
  <c r="M23" i="7"/>
  <c r="M15" i="7"/>
  <c r="M18" i="7" s="1"/>
  <c r="M14" i="7"/>
  <c r="M24" i="9"/>
  <c r="M17" i="9"/>
  <c r="M28" i="9" s="1"/>
  <c r="M14" i="9"/>
  <c r="M18" i="9" s="1"/>
  <c r="M25" i="9"/>
  <c r="E30" i="6"/>
  <c r="D30" i="6"/>
  <c r="C30" i="6"/>
  <c r="B31" i="6"/>
  <c r="H60" i="7"/>
  <c r="I55" i="7"/>
  <c r="H61" i="9"/>
  <c r="I56" i="9"/>
  <c r="L54" i="9" l="1"/>
  <c r="L55" i="9" s="1"/>
  <c r="F34" i="9"/>
  <c r="V9" i="9"/>
  <c r="U22" i="9"/>
  <c r="U26" i="9"/>
  <c r="G29" i="9"/>
  <c r="G32" i="9" s="1"/>
  <c r="F33" i="7"/>
  <c r="G28" i="7"/>
  <c r="L53" i="7"/>
  <c r="L54" i="7" s="1"/>
  <c r="S26" i="7"/>
  <c r="M53" i="7"/>
  <c r="M54" i="7" s="1"/>
  <c r="Y10" i="14"/>
  <c r="X13" i="14"/>
  <c r="X12" i="14"/>
  <c r="L16" i="12"/>
  <c r="L17" i="12" s="1"/>
  <c r="T9" i="7"/>
  <c r="S25" i="7"/>
  <c r="S24" i="7"/>
  <c r="S21" i="7"/>
  <c r="M10" i="12"/>
  <c r="C16" i="6"/>
  <c r="D16" i="6" s="1"/>
  <c r="H22" i="9"/>
  <c r="H21" i="7"/>
  <c r="M27" i="7"/>
  <c r="M12" i="14" s="1"/>
  <c r="N23" i="7"/>
  <c r="N15" i="7"/>
  <c r="N27" i="7" s="1"/>
  <c r="N12" i="14" s="1"/>
  <c r="N13" i="14" s="1"/>
  <c r="N14" i="7"/>
  <c r="M19" i="9"/>
  <c r="N24" i="9"/>
  <c r="N14" i="9"/>
  <c r="N18" i="9" s="1"/>
  <c r="N17" i="9"/>
  <c r="N28" i="9" s="1"/>
  <c r="N25" i="9"/>
  <c r="E31" i="6"/>
  <c r="D31" i="6"/>
  <c r="C31" i="6"/>
  <c r="B32" i="6"/>
  <c r="I61" i="9"/>
  <c r="J56" i="9"/>
  <c r="I60" i="7"/>
  <c r="J55" i="7"/>
  <c r="F30" i="7" l="1"/>
  <c r="F36" i="7" s="1"/>
  <c r="F13" i="12"/>
  <c r="F14" i="12" s="1"/>
  <c r="M54" i="9"/>
  <c r="M55" i="9" s="1"/>
  <c r="F35" i="9"/>
  <c r="F31" i="9"/>
  <c r="H29" i="9"/>
  <c r="H32" i="9" s="1"/>
  <c r="W9" i="9"/>
  <c r="V26" i="9"/>
  <c r="V22" i="9"/>
  <c r="F34" i="7"/>
  <c r="G31" i="7"/>
  <c r="H28" i="7"/>
  <c r="T26" i="7"/>
  <c r="M13" i="14"/>
  <c r="M16" i="12"/>
  <c r="M17" i="12" s="1"/>
  <c r="Y12" i="14"/>
  <c r="Y13" i="14"/>
  <c r="U9" i="7"/>
  <c r="T21" i="7"/>
  <c r="T25" i="7"/>
  <c r="T24" i="7"/>
  <c r="N10" i="12"/>
  <c r="C17" i="6"/>
  <c r="D17" i="6" s="1"/>
  <c r="I22" i="9"/>
  <c r="I21" i="7"/>
  <c r="N18" i="7"/>
  <c r="N19" i="9"/>
  <c r="O23" i="7"/>
  <c r="O15" i="7"/>
  <c r="O18" i="7" s="1"/>
  <c r="O14" i="7"/>
  <c r="O24" i="9"/>
  <c r="O17" i="9"/>
  <c r="O28" i="9" s="1"/>
  <c r="O14" i="9"/>
  <c r="O18" i="9" s="1"/>
  <c r="O25" i="9"/>
  <c r="E32" i="6"/>
  <c r="D32" i="6"/>
  <c r="C32" i="6"/>
  <c r="K55" i="7"/>
  <c r="J60" i="7"/>
  <c r="J61" i="9"/>
  <c r="K56" i="9"/>
  <c r="F50" i="7" l="1"/>
  <c r="F51" i="7" s="1"/>
  <c r="F52" i="7" s="1"/>
  <c r="F56" i="7" s="1"/>
  <c r="N54" i="9"/>
  <c r="N55" i="9" s="1"/>
  <c r="F51" i="9"/>
  <c r="F37" i="9"/>
  <c r="G34" i="9"/>
  <c r="I29" i="9"/>
  <c r="I32" i="9" s="1"/>
  <c r="X9" i="9"/>
  <c r="W26" i="9"/>
  <c r="W22" i="9"/>
  <c r="F40" i="7"/>
  <c r="F41" i="7" s="1"/>
  <c r="F37" i="7"/>
  <c r="G33" i="7"/>
  <c r="N53" i="7"/>
  <c r="N54" i="7" s="1"/>
  <c r="I28" i="7"/>
  <c r="H31" i="7"/>
  <c r="O53" i="7"/>
  <c r="O54" i="7" s="1"/>
  <c r="N16" i="12"/>
  <c r="N17" i="12" s="1"/>
  <c r="V9" i="7"/>
  <c r="U25" i="7"/>
  <c r="U24" i="7"/>
  <c r="U21" i="7"/>
  <c r="O10" i="12"/>
  <c r="C18" i="6"/>
  <c r="D18" i="6" s="1"/>
  <c r="J22" i="9"/>
  <c r="J21" i="7"/>
  <c r="O27" i="7"/>
  <c r="O12" i="14" s="1"/>
  <c r="P14" i="7"/>
  <c r="P23" i="7"/>
  <c r="P15" i="7"/>
  <c r="P27" i="7" s="1"/>
  <c r="P12" i="14" s="1"/>
  <c r="P13" i="14" s="1"/>
  <c r="O19" i="9"/>
  <c r="P24" i="9"/>
  <c r="P17" i="9"/>
  <c r="P14" i="9"/>
  <c r="P18" i="9" s="1"/>
  <c r="P25" i="9"/>
  <c r="L56" i="9"/>
  <c r="K61" i="9"/>
  <c r="K60" i="7"/>
  <c r="L55" i="7"/>
  <c r="F57" i="7" l="1"/>
  <c r="F59" i="7"/>
  <c r="G30" i="7"/>
  <c r="G50" i="7" s="1"/>
  <c r="G51" i="7" s="1"/>
  <c r="G52" i="7" s="1"/>
  <c r="G13" i="12"/>
  <c r="G14" i="12" s="1"/>
  <c r="F58" i="9"/>
  <c r="F52" i="9"/>
  <c r="F53" i="9" s="1"/>
  <c r="O54" i="9"/>
  <c r="O55" i="9" s="1"/>
  <c r="F41" i="9"/>
  <c r="F42" i="9" s="1"/>
  <c r="F38" i="9"/>
  <c r="G35" i="9"/>
  <c r="G31" i="9"/>
  <c r="H34" i="9"/>
  <c r="H31" i="9" s="1"/>
  <c r="I34" i="9"/>
  <c r="J29" i="9"/>
  <c r="J32" i="9" s="1"/>
  <c r="Y9" i="9"/>
  <c r="X22" i="9"/>
  <c r="X26" i="9"/>
  <c r="G34" i="7"/>
  <c r="H33" i="7"/>
  <c r="I31" i="7"/>
  <c r="J28" i="7"/>
  <c r="O13" i="14"/>
  <c r="O16" i="12"/>
  <c r="O17" i="12" s="1"/>
  <c r="W9" i="7"/>
  <c r="V21" i="7"/>
  <c r="V25" i="7"/>
  <c r="V24" i="7"/>
  <c r="P10" i="12"/>
  <c r="C19" i="6"/>
  <c r="D19" i="6" s="1"/>
  <c r="K22" i="9"/>
  <c r="K21" i="7"/>
  <c r="P19" i="9"/>
  <c r="P18" i="7"/>
  <c r="P28" i="9"/>
  <c r="Q24" i="9"/>
  <c r="Q14" i="9"/>
  <c r="Q18" i="9" s="1"/>
  <c r="Q17" i="9"/>
  <c r="Q25" i="9"/>
  <c r="Q23" i="7"/>
  <c r="Q14" i="7"/>
  <c r="Q15" i="7"/>
  <c r="Q27" i="7" s="1"/>
  <c r="Q12" i="14" s="1"/>
  <c r="Q13" i="14" s="1"/>
  <c r="M55" i="7"/>
  <c r="L60" i="7"/>
  <c r="L61" i="9"/>
  <c r="M56" i="9"/>
  <c r="G36" i="7" l="1"/>
  <c r="G37" i="7" s="1"/>
  <c r="H30" i="7"/>
  <c r="H36" i="7" s="1"/>
  <c r="H40" i="7" s="1"/>
  <c r="H13" i="12"/>
  <c r="H14" i="12" s="1"/>
  <c r="G51" i="9"/>
  <c r="G52" i="9" s="1"/>
  <c r="G53" i="9" s="1"/>
  <c r="G37" i="9"/>
  <c r="G38" i="9" s="1"/>
  <c r="F60" i="9"/>
  <c r="F57" i="9"/>
  <c r="H51" i="9"/>
  <c r="H52" i="9" s="1"/>
  <c r="H37" i="9"/>
  <c r="H41" i="9" s="1"/>
  <c r="P54" i="9"/>
  <c r="P55" i="9" s="1"/>
  <c r="H35" i="9"/>
  <c r="I35" i="9"/>
  <c r="I31" i="9"/>
  <c r="J34" i="9"/>
  <c r="K29" i="9"/>
  <c r="K32" i="9" s="1"/>
  <c r="Y22" i="9"/>
  <c r="Y26" i="9"/>
  <c r="H50" i="7"/>
  <c r="H51" i="7" s="1"/>
  <c r="H52" i="7" s="1"/>
  <c r="G59" i="7"/>
  <c r="G56" i="7"/>
  <c r="I33" i="7"/>
  <c r="H34" i="7"/>
  <c r="J31" i="7"/>
  <c r="K28" i="7"/>
  <c r="P53" i="7"/>
  <c r="P54" i="7" s="1"/>
  <c r="P16" i="12"/>
  <c r="P17" i="12" s="1"/>
  <c r="X9" i="7"/>
  <c r="W25" i="7"/>
  <c r="W21" i="7"/>
  <c r="W24" i="7"/>
  <c r="Q10" i="12"/>
  <c r="L22" i="9"/>
  <c r="L21" i="7"/>
  <c r="Q19" i="9"/>
  <c r="Q28" i="9"/>
  <c r="R15" i="7"/>
  <c r="R18" i="7" s="1"/>
  <c r="R23" i="7"/>
  <c r="R14" i="7"/>
  <c r="R17" i="9"/>
  <c r="R28" i="9" s="1"/>
  <c r="R14" i="9"/>
  <c r="R25" i="9"/>
  <c r="R24" i="9"/>
  <c r="Q18" i="7"/>
  <c r="C20" i="6"/>
  <c r="M60" i="7"/>
  <c r="N55" i="7"/>
  <c r="M61" i="9"/>
  <c r="N56" i="9"/>
  <c r="G40" i="7" l="1"/>
  <c r="G41" i="7" s="1"/>
  <c r="H41" i="7" s="1"/>
  <c r="H37" i="7"/>
  <c r="H38" i="9"/>
  <c r="I30" i="7"/>
  <c r="I50" i="7" s="1"/>
  <c r="I51" i="7" s="1"/>
  <c r="I52" i="7" s="1"/>
  <c r="I13" i="12"/>
  <c r="I14" i="12" s="1"/>
  <c r="Q54" i="9"/>
  <c r="Q55" i="9" s="1"/>
  <c r="I51" i="9"/>
  <c r="I52" i="9" s="1"/>
  <c r="I37" i="9"/>
  <c r="I41" i="9" s="1"/>
  <c r="H53" i="9"/>
  <c r="G60" i="9"/>
  <c r="G57" i="9"/>
  <c r="G41" i="9"/>
  <c r="G42" i="9" s="1"/>
  <c r="J35" i="9"/>
  <c r="J31" i="9"/>
  <c r="L29" i="9"/>
  <c r="L32" i="9" s="1"/>
  <c r="H56" i="7"/>
  <c r="H59" i="7"/>
  <c r="I34" i="7"/>
  <c r="J33" i="7"/>
  <c r="L28" i="7"/>
  <c r="K31" i="7"/>
  <c r="Q53" i="7"/>
  <c r="Q54" i="7" s="1"/>
  <c r="Q16" i="12"/>
  <c r="Q17" i="12" s="1"/>
  <c r="Y9" i="7"/>
  <c r="X21" i="7"/>
  <c r="X25" i="7"/>
  <c r="X24" i="7"/>
  <c r="R29" i="9"/>
  <c r="R18" i="9"/>
  <c r="R19" i="9" s="1"/>
  <c r="R10" i="12"/>
  <c r="R27" i="7"/>
  <c r="R53" i="7"/>
  <c r="R54" i="7" s="1"/>
  <c r="S23" i="7"/>
  <c r="S15" i="7"/>
  <c r="S18" i="7" s="1"/>
  <c r="S14" i="7"/>
  <c r="S25" i="9"/>
  <c r="S24" i="9"/>
  <c r="S17" i="9"/>
  <c r="S28" i="9" s="1"/>
  <c r="S14" i="9"/>
  <c r="S18" i="9" s="1"/>
  <c r="D20" i="6"/>
  <c r="N61" i="9"/>
  <c r="O56" i="9"/>
  <c r="N60" i="7"/>
  <c r="O55" i="7"/>
  <c r="I38" i="9" l="1"/>
  <c r="I36" i="7"/>
  <c r="I37" i="7" s="1"/>
  <c r="J30" i="7"/>
  <c r="J50" i="7" s="1"/>
  <c r="J51" i="7" s="1"/>
  <c r="J52" i="7" s="1"/>
  <c r="J13" i="12"/>
  <c r="J14" i="12" s="1"/>
  <c r="J51" i="9"/>
  <c r="J52" i="9" s="1"/>
  <c r="J37" i="9"/>
  <c r="I53" i="9"/>
  <c r="H60" i="9"/>
  <c r="H57" i="9"/>
  <c r="R54" i="9"/>
  <c r="R55" i="9" s="1"/>
  <c r="R32" i="9"/>
  <c r="H42" i="9"/>
  <c r="I42" i="9" s="1"/>
  <c r="K34" i="9"/>
  <c r="I56" i="7"/>
  <c r="I59" i="7"/>
  <c r="K33" i="7"/>
  <c r="J34" i="7"/>
  <c r="L31" i="7"/>
  <c r="R16" i="12"/>
  <c r="R17" i="12" s="1"/>
  <c r="R28" i="7"/>
  <c r="R12" i="14"/>
  <c r="R13" i="14" s="1"/>
  <c r="Y25" i="7"/>
  <c r="Y24" i="7"/>
  <c r="Y21" i="7"/>
  <c r="S29" i="9"/>
  <c r="S10" i="12"/>
  <c r="C21" i="6"/>
  <c r="D21" i="6" s="1"/>
  <c r="M22" i="9"/>
  <c r="M21" i="7"/>
  <c r="S27" i="7"/>
  <c r="S53" i="7"/>
  <c r="S54" i="7" s="1"/>
  <c r="T25" i="9"/>
  <c r="T24" i="9"/>
  <c r="T17" i="9"/>
  <c r="T28" i="9" s="1"/>
  <c r="T14" i="9"/>
  <c r="T18" i="9" s="1"/>
  <c r="S19" i="9"/>
  <c r="T23" i="7"/>
  <c r="T15" i="7"/>
  <c r="T27" i="7" s="1"/>
  <c r="T14" i="7"/>
  <c r="P56" i="9"/>
  <c r="O61" i="9"/>
  <c r="P55" i="7"/>
  <c r="O60" i="7"/>
  <c r="I40" i="7" l="1"/>
  <c r="I41" i="7" s="1"/>
  <c r="J36" i="7"/>
  <c r="J40" i="7" s="1"/>
  <c r="K30" i="7"/>
  <c r="K36" i="7" s="1"/>
  <c r="K13" i="12"/>
  <c r="K14" i="12" s="1"/>
  <c r="S32" i="9"/>
  <c r="J53" i="9"/>
  <c r="I60" i="9"/>
  <c r="I57" i="9"/>
  <c r="J41" i="9"/>
  <c r="J42" i="9" s="1"/>
  <c r="J38" i="9"/>
  <c r="K35" i="9"/>
  <c r="K31" i="9"/>
  <c r="L34" i="9"/>
  <c r="M29" i="9"/>
  <c r="M32" i="9" s="1"/>
  <c r="K50" i="7"/>
  <c r="K51" i="7" s="1"/>
  <c r="K52" i="7" s="1"/>
  <c r="J56" i="7"/>
  <c r="J59" i="7"/>
  <c r="J37" i="7"/>
  <c r="L33" i="7"/>
  <c r="K34" i="7"/>
  <c r="M28" i="7"/>
  <c r="R31" i="7"/>
  <c r="T28" i="7"/>
  <c r="T12" i="14"/>
  <c r="S28" i="7"/>
  <c r="S12" i="14"/>
  <c r="S13" i="14" s="1"/>
  <c r="S16" i="12"/>
  <c r="S17" i="12" s="1"/>
  <c r="T18" i="7"/>
  <c r="T29" i="9"/>
  <c r="T10" i="12"/>
  <c r="C22" i="6"/>
  <c r="D22" i="6" s="1"/>
  <c r="N22" i="9"/>
  <c r="N21" i="7"/>
  <c r="T19" i="9"/>
  <c r="S54" i="9"/>
  <c r="S55" i="9" s="1"/>
  <c r="U23" i="7"/>
  <c r="U15" i="7"/>
  <c r="U27" i="7" s="1"/>
  <c r="U28" i="7" s="1"/>
  <c r="U14" i="7"/>
  <c r="U25" i="9"/>
  <c r="U24" i="9"/>
  <c r="U14" i="9"/>
  <c r="U18" i="9" s="1"/>
  <c r="U17" i="9"/>
  <c r="U28" i="9" s="1"/>
  <c r="P61" i="9"/>
  <c r="Q56" i="9"/>
  <c r="R56" i="9" s="1"/>
  <c r="P60" i="7"/>
  <c r="Q55" i="7"/>
  <c r="R55" i="7" s="1"/>
  <c r="J41" i="7" l="1"/>
  <c r="L30" i="7"/>
  <c r="L50" i="7" s="1"/>
  <c r="L51" i="7" s="1"/>
  <c r="L52" i="7" s="1"/>
  <c r="L13" i="12"/>
  <c r="L14" i="12" s="1"/>
  <c r="T32" i="9"/>
  <c r="J60" i="9"/>
  <c r="J57" i="9"/>
  <c r="K51" i="9"/>
  <c r="K52" i="9" s="1"/>
  <c r="K53" i="9" s="1"/>
  <c r="K37" i="9"/>
  <c r="K38" i="9" s="1"/>
  <c r="L35" i="9"/>
  <c r="L31" i="9"/>
  <c r="M34" i="9"/>
  <c r="N29" i="9"/>
  <c r="N32" i="9" s="1"/>
  <c r="K56" i="7"/>
  <c r="K59" i="7"/>
  <c r="K37" i="7"/>
  <c r="K40" i="7"/>
  <c r="R33" i="7"/>
  <c r="L34" i="7"/>
  <c r="M31" i="7"/>
  <c r="N28" i="7"/>
  <c r="S31" i="7"/>
  <c r="T53" i="7"/>
  <c r="T54" i="7" s="1"/>
  <c r="T31" i="7"/>
  <c r="T13" i="14"/>
  <c r="E15" i="14"/>
  <c r="T16" i="12"/>
  <c r="T17" i="12" s="1"/>
  <c r="U19" i="9"/>
  <c r="U54" i="9" s="1"/>
  <c r="U55" i="9" s="1"/>
  <c r="U29" i="9"/>
  <c r="U51" i="9" s="1"/>
  <c r="U52" i="9" s="1"/>
  <c r="U50" i="7"/>
  <c r="U51" i="7" s="1"/>
  <c r="U18" i="7"/>
  <c r="U31" i="7" s="1"/>
  <c r="U10" i="12"/>
  <c r="O22" i="9"/>
  <c r="O21" i="7"/>
  <c r="S56" i="9"/>
  <c r="S55" i="7"/>
  <c r="T54" i="9"/>
  <c r="T55" i="9" s="1"/>
  <c r="V25" i="9"/>
  <c r="V24" i="9"/>
  <c r="V17" i="9"/>
  <c r="V28" i="9" s="1"/>
  <c r="V14" i="9"/>
  <c r="V18" i="9" s="1"/>
  <c r="V23" i="7"/>
  <c r="V15" i="7"/>
  <c r="V27" i="7" s="1"/>
  <c r="V28" i="7" s="1"/>
  <c r="V14" i="7"/>
  <c r="C23" i="6"/>
  <c r="Q60" i="7"/>
  <c r="R60" i="7" s="1"/>
  <c r="Q61" i="9"/>
  <c r="R61" i="9" s="1"/>
  <c r="K41" i="7" l="1"/>
  <c r="L36" i="7"/>
  <c r="L40" i="7" s="1"/>
  <c r="R30" i="7"/>
  <c r="R50" i="7" s="1"/>
  <c r="R51" i="7" s="1"/>
  <c r="R13" i="12"/>
  <c r="K60" i="9"/>
  <c r="K57" i="9"/>
  <c r="K41" i="9"/>
  <c r="K42" i="9" s="1"/>
  <c r="L51" i="9"/>
  <c r="L52" i="9" s="1"/>
  <c r="L53" i="9" s="1"/>
  <c r="L37" i="9"/>
  <c r="L41" i="9" s="1"/>
  <c r="M35" i="9"/>
  <c r="M31" i="9"/>
  <c r="N34" i="9"/>
  <c r="O29" i="9"/>
  <c r="O32" i="9" s="1"/>
  <c r="L59" i="7"/>
  <c r="L56" i="7"/>
  <c r="M33" i="7"/>
  <c r="R34" i="7"/>
  <c r="T33" i="7"/>
  <c r="S33" i="7"/>
  <c r="N31" i="7"/>
  <c r="O28" i="7"/>
  <c r="U16" i="12"/>
  <c r="U13" i="12"/>
  <c r="S61" i="9"/>
  <c r="U53" i="7"/>
  <c r="U54" i="7" s="1"/>
  <c r="V19" i="9"/>
  <c r="V54" i="9" s="1"/>
  <c r="V55" i="9" s="1"/>
  <c r="V18" i="7"/>
  <c r="V53" i="7" s="1"/>
  <c r="V54" i="7" s="1"/>
  <c r="V50" i="7"/>
  <c r="V51" i="7" s="1"/>
  <c r="V29" i="9"/>
  <c r="V51" i="9" s="1"/>
  <c r="V52" i="9" s="1"/>
  <c r="V10" i="12"/>
  <c r="U14" i="12"/>
  <c r="U17" i="12"/>
  <c r="U32" i="9"/>
  <c r="U33" i="7"/>
  <c r="U34" i="7" s="1"/>
  <c r="W25" i="9"/>
  <c r="W24" i="9"/>
  <c r="W17" i="9"/>
  <c r="W28" i="9" s="1"/>
  <c r="W14" i="9"/>
  <c r="W18" i="9" s="1"/>
  <c r="W15" i="7"/>
  <c r="W18" i="7" s="1"/>
  <c r="W14" i="7"/>
  <c r="W23" i="7"/>
  <c r="T56" i="9"/>
  <c r="U56" i="9" s="1"/>
  <c r="T55" i="7"/>
  <c r="S60" i="7"/>
  <c r="D23" i="6"/>
  <c r="L41" i="7" l="1"/>
  <c r="L37" i="7"/>
  <c r="R36" i="7"/>
  <c r="R40" i="7" s="1"/>
  <c r="M30" i="7"/>
  <c r="M50" i="7" s="1"/>
  <c r="M51" i="7" s="1"/>
  <c r="M52" i="7" s="1"/>
  <c r="M13" i="12"/>
  <c r="M14" i="12" s="1"/>
  <c r="S30" i="7"/>
  <c r="S50" i="7" s="1"/>
  <c r="S51" i="7" s="1"/>
  <c r="S13" i="12"/>
  <c r="T30" i="7"/>
  <c r="T36" i="7" s="1"/>
  <c r="T13" i="12"/>
  <c r="L57" i="9"/>
  <c r="L60" i="9"/>
  <c r="M51" i="9"/>
  <c r="M52" i="9" s="1"/>
  <c r="M53" i="9" s="1"/>
  <c r="M37" i="9"/>
  <c r="M41" i="9" s="1"/>
  <c r="L38" i="9"/>
  <c r="L42" i="9"/>
  <c r="N35" i="9"/>
  <c r="N31" i="9"/>
  <c r="M34" i="7"/>
  <c r="S34" i="7"/>
  <c r="N33" i="7"/>
  <c r="T34" i="7"/>
  <c r="O31" i="7"/>
  <c r="V16" i="12"/>
  <c r="V13" i="12"/>
  <c r="V31" i="7"/>
  <c r="U55" i="7"/>
  <c r="V55" i="7" s="1"/>
  <c r="W19" i="9"/>
  <c r="W54" i="9" s="1"/>
  <c r="W55" i="9" s="1"/>
  <c r="V32" i="9"/>
  <c r="V34" i="9" s="1"/>
  <c r="V35" i="9" s="1"/>
  <c r="W29" i="9"/>
  <c r="W51" i="9" s="1"/>
  <c r="W52" i="9" s="1"/>
  <c r="W10" i="12"/>
  <c r="V14" i="12"/>
  <c r="V17" i="12"/>
  <c r="C24" i="6"/>
  <c r="D24" i="6" s="1"/>
  <c r="P22" i="9"/>
  <c r="P21" i="7"/>
  <c r="V56" i="9"/>
  <c r="U34" i="9"/>
  <c r="U35" i="9" s="1"/>
  <c r="T60" i="7"/>
  <c r="W53" i="7"/>
  <c r="W54" i="7" s="1"/>
  <c r="W27" i="7"/>
  <c r="W28" i="7" s="1"/>
  <c r="V33" i="7"/>
  <c r="V34" i="7" s="1"/>
  <c r="X23" i="7"/>
  <c r="X15" i="7"/>
  <c r="X27" i="7" s="1"/>
  <c r="X28" i="7" s="1"/>
  <c r="X14" i="7"/>
  <c r="T61" i="9"/>
  <c r="X25" i="9"/>
  <c r="X24" i="9"/>
  <c r="X17" i="9"/>
  <c r="X28" i="9" s="1"/>
  <c r="X14" i="9"/>
  <c r="X18" i="9" s="1"/>
  <c r="M36" i="7" l="1"/>
  <c r="M40" i="7" s="1"/>
  <c r="M41" i="7" s="1"/>
  <c r="T50" i="7"/>
  <c r="T51" i="7" s="1"/>
  <c r="S36" i="7"/>
  <c r="S40" i="7" s="1"/>
  <c r="M38" i="9"/>
  <c r="N30" i="7"/>
  <c r="N50" i="7" s="1"/>
  <c r="N51" i="7" s="1"/>
  <c r="N52" i="7" s="1"/>
  <c r="N13" i="12"/>
  <c r="N14" i="12" s="1"/>
  <c r="M42" i="9"/>
  <c r="M57" i="9"/>
  <c r="M60" i="9"/>
  <c r="N51" i="9"/>
  <c r="N52" i="9" s="1"/>
  <c r="N53" i="9" s="1"/>
  <c r="N37" i="9"/>
  <c r="N41" i="9" s="1"/>
  <c r="O34" i="9"/>
  <c r="P29" i="9"/>
  <c r="P32" i="9" s="1"/>
  <c r="M56" i="7"/>
  <c r="M59" i="7"/>
  <c r="T40" i="7"/>
  <c r="O33" i="7"/>
  <c r="N34" i="7"/>
  <c r="P28" i="7"/>
  <c r="W16" i="12"/>
  <c r="W13" i="12"/>
  <c r="X18" i="7"/>
  <c r="X53" i="7" s="1"/>
  <c r="X54" i="7" s="1"/>
  <c r="W32" i="9"/>
  <c r="W34" i="9" s="1"/>
  <c r="W35" i="9" s="1"/>
  <c r="X19" i="9"/>
  <c r="X54" i="9" s="1"/>
  <c r="X55" i="9" s="1"/>
  <c r="X29" i="9"/>
  <c r="X51" i="9" s="1"/>
  <c r="X52" i="9" s="1"/>
  <c r="X10" i="12"/>
  <c r="W14" i="12"/>
  <c r="W17" i="12"/>
  <c r="C25" i="6"/>
  <c r="Q22" i="9"/>
  <c r="Q21" i="7"/>
  <c r="W56" i="9"/>
  <c r="W50" i="7"/>
  <c r="W51" i="7" s="1"/>
  <c r="W31" i="7"/>
  <c r="X50" i="7"/>
  <c r="X51" i="7" s="1"/>
  <c r="W55" i="7"/>
  <c r="D25" i="6"/>
  <c r="C26" i="6" s="1"/>
  <c r="Y17" i="9"/>
  <c r="Y28" i="9" s="1"/>
  <c r="Y14" i="9"/>
  <c r="Y18" i="9" s="1"/>
  <c r="Y24" i="9"/>
  <c r="Y25" i="9"/>
  <c r="Y23" i="7"/>
  <c r="Y15" i="7"/>
  <c r="Y27" i="7" s="1"/>
  <c r="Y14" i="7"/>
  <c r="M37" i="7" l="1"/>
  <c r="N36" i="7"/>
  <c r="N40" i="7" s="1"/>
  <c r="N41" i="7" s="1"/>
  <c r="N42" i="9"/>
  <c r="N38" i="9"/>
  <c r="O30" i="7"/>
  <c r="O50" i="7" s="1"/>
  <c r="O51" i="7" s="1"/>
  <c r="O52" i="7" s="1"/>
  <c r="O13" i="12"/>
  <c r="O14" i="12" s="1"/>
  <c r="N57" i="9"/>
  <c r="N60" i="9"/>
  <c r="O35" i="9"/>
  <c r="O31" i="9"/>
  <c r="Q29" i="9"/>
  <c r="Q32" i="9" s="1"/>
  <c r="N56" i="7"/>
  <c r="N59" i="7"/>
  <c r="O34" i="7"/>
  <c r="P31" i="7"/>
  <c r="Q28" i="7"/>
  <c r="X13" i="12"/>
  <c r="X16" i="12"/>
  <c r="X32" i="9"/>
  <c r="X34" i="9" s="1"/>
  <c r="X35" i="9" s="1"/>
  <c r="Y29" i="9"/>
  <c r="Y51" i="9" s="1"/>
  <c r="Y52" i="9" s="1"/>
  <c r="Y19" i="9"/>
  <c r="Y54" i="9" s="1"/>
  <c r="Y55" i="9" s="1"/>
  <c r="Y10" i="12"/>
  <c r="X14" i="12"/>
  <c r="X17" i="12"/>
  <c r="X56" i="9"/>
  <c r="Y28" i="7"/>
  <c r="X31" i="7"/>
  <c r="X33" i="7" s="1"/>
  <c r="X34" i="7" s="1"/>
  <c r="Y18" i="7"/>
  <c r="W33" i="7"/>
  <c r="W34" i="7" s="1"/>
  <c r="X55" i="7"/>
  <c r="D26" i="6"/>
  <c r="C27" i="6"/>
  <c r="D27" i="6" s="1"/>
  <c r="N37" i="7" l="1"/>
  <c r="O36" i="7"/>
  <c r="O40" i="7" s="1"/>
  <c r="O41" i="7" s="1"/>
  <c r="O51" i="9"/>
  <c r="O52" i="9" s="1"/>
  <c r="O53" i="9" s="1"/>
  <c r="O37" i="9"/>
  <c r="P34" i="9"/>
  <c r="Q34" i="9"/>
  <c r="O56" i="7"/>
  <c r="O59" i="7"/>
  <c r="P33" i="7"/>
  <c r="Q31" i="7"/>
  <c r="Y16" i="12"/>
  <c r="Y13" i="12"/>
  <c r="Y32" i="9"/>
  <c r="Y34" i="9" s="1"/>
  <c r="Y35" i="9" s="1"/>
  <c r="Y17" i="12"/>
  <c r="Y50" i="7"/>
  <c r="Y51" i="7" s="1"/>
  <c r="Y14" i="12"/>
  <c r="Y56" i="9"/>
  <c r="Y53" i="7"/>
  <c r="Y54" i="7" s="1"/>
  <c r="Y55" i="7" s="1"/>
  <c r="Y31" i="7"/>
  <c r="R34" i="9"/>
  <c r="R14" i="12"/>
  <c r="O37" i="7" l="1"/>
  <c r="P30" i="7"/>
  <c r="P36" i="7" s="1"/>
  <c r="P13" i="12"/>
  <c r="P14" i="12" s="1"/>
  <c r="O41" i="9"/>
  <c r="O42" i="9" s="1"/>
  <c r="O38" i="9"/>
  <c r="O57" i="9"/>
  <c r="O60" i="9"/>
  <c r="R35" i="9"/>
  <c r="R31" i="9"/>
  <c r="Q35" i="9"/>
  <c r="Q31" i="9"/>
  <c r="P35" i="9"/>
  <c r="P31" i="9"/>
  <c r="P50" i="7"/>
  <c r="P51" i="7" s="1"/>
  <c r="P52" i="7" s="1"/>
  <c r="Q33" i="7"/>
  <c r="P34" i="7"/>
  <c r="Y33" i="7"/>
  <c r="Y34" i="7" s="1"/>
  <c r="T14" i="12"/>
  <c r="S14" i="12"/>
  <c r="P37" i="7" l="1"/>
  <c r="Q30" i="7"/>
  <c r="E45" i="7" s="1" a="1"/>
  <c r="E45" i="7" s="1"/>
  <c r="Q13" i="12"/>
  <c r="Q14" i="12" s="1"/>
  <c r="E20" i="12" s="1"/>
  <c r="P51" i="9"/>
  <c r="P52" i="9" s="1"/>
  <c r="P53" i="9" s="1"/>
  <c r="P37" i="9"/>
  <c r="P41" i="9" s="1"/>
  <c r="P42" i="9" s="1"/>
  <c r="R51" i="9"/>
  <c r="R52" i="9" s="1"/>
  <c r="R37" i="9"/>
  <c r="R41" i="9" s="1"/>
  <c r="Q51" i="9"/>
  <c r="Q52" i="9" s="1"/>
  <c r="Q37" i="9"/>
  <c r="Q41" i="9" s="1"/>
  <c r="T34" i="9"/>
  <c r="S34" i="9"/>
  <c r="P40" i="7"/>
  <c r="P41" i="7" s="1"/>
  <c r="P59" i="7"/>
  <c r="P56" i="7"/>
  <c r="Q34" i="7"/>
  <c r="E19" i="12" l="1"/>
  <c r="E14" i="16" s="1"/>
  <c r="Q50" i="7"/>
  <c r="Q51" i="7" s="1"/>
  <c r="Q52" i="7" s="1"/>
  <c r="R52" i="7" s="1"/>
  <c r="Q36" i="7"/>
  <c r="Q40" i="7" s="1"/>
  <c r="Q41" i="7" s="1"/>
  <c r="R41" i="7" s="1"/>
  <c r="S41" i="7" s="1"/>
  <c r="T41" i="7" s="1"/>
  <c r="E47" i="7" s="1" a="1"/>
  <c r="E47" i="7" s="1"/>
  <c r="Q42" i="9"/>
  <c r="R42" i="9" s="1"/>
  <c r="P38" i="9"/>
  <c r="Q38" i="9" s="1"/>
  <c r="R38" i="9" s="1"/>
  <c r="Q53" i="9"/>
  <c r="P60" i="9"/>
  <c r="P57" i="9"/>
  <c r="S35" i="9"/>
  <c r="S31" i="9"/>
  <c r="T35" i="9"/>
  <c r="T31" i="9"/>
  <c r="U53" i="9"/>
  <c r="U52" i="7"/>
  <c r="Q59" i="7" l="1"/>
  <c r="E44" i="7"/>
  <c r="E43" i="7"/>
  <c r="E15" i="16" s="1"/>
  <c r="Q56" i="7"/>
  <c r="Q37" i="7"/>
  <c r="R37" i="7" s="1"/>
  <c r="S37" i="7" s="1"/>
  <c r="T37" i="7" s="1"/>
  <c r="E46" i="7" s="1" a="1"/>
  <c r="E46" i="7" s="1"/>
  <c r="S51" i="9"/>
  <c r="S52" i="9" s="1"/>
  <c r="S37" i="9"/>
  <c r="S41" i="9" s="1"/>
  <c r="S42" i="9" s="1"/>
  <c r="R53" i="9"/>
  <c r="Q60" i="9"/>
  <c r="Q57" i="9"/>
  <c r="T51" i="9"/>
  <c r="T52" i="9" s="1"/>
  <c r="E46" i="9" a="1"/>
  <c r="E46" i="9" s="1"/>
  <c r="T37" i="9"/>
  <c r="S52" i="7"/>
  <c r="R59" i="7"/>
  <c r="R56" i="7"/>
  <c r="V53" i="9"/>
  <c r="U57" i="9"/>
  <c r="V52" i="7"/>
  <c r="U56" i="7"/>
  <c r="B37" i="13" l="1"/>
  <c r="E16" i="16"/>
  <c r="E37" i="13"/>
  <c r="C37" i="13"/>
  <c r="S38" i="9"/>
  <c r="T38" i="9" s="1"/>
  <c r="E47" i="9" s="1" a="1"/>
  <c r="E47" i="9" s="1"/>
  <c r="S53" i="9"/>
  <c r="R57" i="9"/>
  <c r="R60" i="9"/>
  <c r="T41" i="9"/>
  <c r="T42" i="9" s="1"/>
  <c r="E48" i="9" s="1" a="1"/>
  <c r="E48" i="9" s="1"/>
  <c r="E44" i="9"/>
  <c r="E17" i="16" s="1"/>
  <c r="E45" i="9"/>
  <c r="E18" i="16" s="1"/>
  <c r="T52" i="7"/>
  <c r="S56" i="7"/>
  <c r="S59" i="7"/>
  <c r="W53" i="9"/>
  <c r="V57" i="9"/>
  <c r="W52" i="7"/>
  <c r="V56" i="7"/>
  <c r="D37" i="13" l="1"/>
  <c r="T53" i="9"/>
  <c r="S60" i="9"/>
  <c r="S57" i="9"/>
  <c r="T59" i="7"/>
  <c r="T56" i="7"/>
  <c r="X53" i="9"/>
  <c r="W57" i="9"/>
  <c r="X52" i="7"/>
  <c r="W56" i="7"/>
  <c r="T60" i="9" l="1"/>
  <c r="T57" i="9"/>
  <c r="Y53" i="9"/>
  <c r="X57" i="9"/>
  <c r="Y52" i="7"/>
  <c r="Y56" i="7" s="1"/>
  <c r="X56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<sst xmlns="http://schemas.openxmlformats.org/spreadsheetml/2006/main" count="373" uniqueCount="202">
  <si>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</si>
  <si>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</si>
  <si>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</si>
  <si>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</si>
  <si>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</si>
  <si>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</si>
  <si>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</si>
  <si>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</si>
  <si>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</si>
  <si>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</si>
  <si>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</si>
  <si>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</si>
  <si>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</si>
  <si>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</si>
  <si>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</si>
  <si>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</si>
  <si>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</si>
  <si>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</si>
  <si>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</si>
  <si>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</si>
  <si>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</si>
  <si>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</si>
  <si>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</si>
  <si>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EUR ili -</t>
  </si>
  <si>
    <t>Varijanta A</t>
  </si>
  <si>
    <t>Varijanta B</t>
  </si>
  <si>
    <t>Varijanta C</t>
  </si>
  <si>
    <t>Energy savings</t>
  </si>
  <si>
    <t>Money savings</t>
  </si>
  <si>
    <r>
      <t>kWh/m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a</t>
    </r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</si>
  <si>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</si>
  <si>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</si>
  <si>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</si>
  <si>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</si>
  <si>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</si>
  <si>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</si>
  <si>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</si>
  <si>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Projekat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</si>
  <si>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</si>
  <si>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</si>
  <si>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</si>
  <si>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</si>
  <si>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</si>
  <si>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</si>
  <si>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</si>
  <si>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</si>
  <si>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</si>
  <si>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</si>
  <si>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</si>
  <si>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</si>
  <si>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</si>
  <si>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</si>
  <si>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</si>
  <si>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</si>
  <si>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</si>
  <si>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</si>
  <si>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</si>
  <si>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</si>
  <si>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</si>
  <si>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</si>
  <si>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</si>
  <si>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</si>
  <si>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</si>
  <si>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</si>
  <si>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</si>
  <si>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</si>
  <si>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Kamatna stopa na sredstva iz kredita</t>
  </si>
  <si>
    <t>Gorivo ili energija</t>
  </si>
  <si>
    <t>Unos podataka za proračun</t>
  </si>
  <si>
    <t>Ukupno:</t>
  </si>
  <si>
    <t>UKUPNO:</t>
  </si>
  <si>
    <t>Kredit:</t>
  </si>
  <si>
    <t>CO2 Taksa</t>
  </si>
  <si>
    <t>Konverzioni CO2 faktor - t/MWh primarne energije</t>
  </si>
  <si>
    <t>ENERGIJA I TROŠKOVI ENERGIJE</t>
  </si>
  <si>
    <t>Izabrati varijantu obračuna troškova</t>
  </si>
  <si>
    <t>Varijanta naplate po utrošku</t>
  </si>
  <si>
    <r>
      <t>Varijanta A - varijabilni deo din/kWh, fiksni deo din/m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mesečno</t>
    </r>
  </si>
  <si>
    <t>Varijanta C - postoji samo varijabilni deo din/kWh</t>
  </si>
  <si>
    <t>Varijanta B - varijabilni deo din/kWh, fiksni deo din/kW mesečno</t>
  </si>
  <si>
    <t>A</t>
  </si>
  <si>
    <t>B</t>
  </si>
  <si>
    <t>C</t>
  </si>
  <si>
    <t>Komentar</t>
  </si>
  <si>
    <t>Cena fiksnog dela bez PDV</t>
  </si>
  <si>
    <t>Cena varijabilnog dela bez PDV</t>
  </si>
  <si>
    <t>Grejana površina</t>
  </si>
  <si>
    <t>din/kWh</t>
  </si>
  <si>
    <r>
      <t>din/m</t>
    </r>
    <r>
      <rPr>
        <vertAlign val="superscript"/>
        <sz val="11"/>
        <color theme="1"/>
        <rFont val="Calibri"/>
        <family val="2"/>
        <scheme val="minor"/>
      </rPr>
      <t>2</t>
    </r>
  </si>
  <si>
    <t>din/kW</t>
  </si>
  <si>
    <t xml:space="preserve"> -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</si>
  <si>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</si>
  <si>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Potrošnja toplote - posle projekta</t>
  </si>
  <si>
    <t>Potrošnja toplote - pre projekta</t>
  </si>
  <si>
    <t>Temperatura prostora - pre projekta</t>
  </si>
  <si>
    <t>Temperatura prostora - posle projekta</t>
  </si>
  <si>
    <t>Projektna temperatura prostora</t>
  </si>
  <si>
    <t>Projektna spoljna temperatura</t>
  </si>
  <si>
    <t>Prema elaboratu EE</t>
  </si>
  <si>
    <t>Procena</t>
  </si>
  <si>
    <t>Procena - uobičajena</t>
  </si>
  <si>
    <t>Prema tehničkim propisima</t>
  </si>
  <si>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</si>
  <si>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Uštede energije</t>
  </si>
  <si>
    <t>Uštede u novcu</t>
  </si>
  <si>
    <t>Radni režim sa prekidom</t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</si>
  <si>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</si>
  <si>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</si>
  <si>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</si>
  <si>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</si>
  <si>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</si>
  <si>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</si>
  <si>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</si>
  <si>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</si>
  <si>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energije (MWh/a)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</si>
  <si>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</si>
  <si>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</si>
  <si>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</si>
  <si>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</si>
  <si>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</si>
  <si>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</si>
  <si>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</si>
  <si>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</si>
  <si>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</si>
  <si>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</si>
  <si>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</si>
  <si>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Ukupni prihod (EUR)</t>
  </si>
  <si>
    <t>Deo ušteda koji pripada krajnjim kupcima (EUR/a)</t>
  </si>
  <si>
    <t>Ukupni godišnji troškovi (EUR/a)</t>
  </si>
  <si>
    <t>GRAF / CASH FLOW / FINANSIJSKI</t>
  </si>
  <si>
    <t>GRAF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</si>
  <si>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</si>
  <si>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</si>
  <si>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</si>
  <si>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</si>
  <si>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</si>
  <si>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t>Ušteda energije (MWh/a)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</si>
  <si>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</si>
  <si>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</si>
  <si>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Nabavka TS ventila i alokatora troškova</t>
  </si>
  <si>
    <t>Nabavka pojedinačnih merila toplote</t>
  </si>
  <si>
    <t>Ugradnja pojedinačnih merila toplote</t>
  </si>
  <si>
    <t>Balansiranje cevne mreže i postavka parametara</t>
  </si>
  <si>
    <t>NAZAD</t>
  </si>
  <si>
    <t>DALJE</t>
  </si>
  <si>
    <t>Miks goriva</t>
  </si>
  <si>
    <t>ESCO INVESTICIJA</t>
  </si>
  <si>
    <t>Udeo uštede ako gradi ESCO (EUR/a)</t>
  </si>
  <si>
    <t>Diskontovana vrednost udela (EUR/a)</t>
  </si>
  <si>
    <t>N/A</t>
  </si>
  <si>
    <t>GRAFIK / CASH FLOW / FINANSIJSKI</t>
  </si>
  <si>
    <t>REZIME PROJEKTA</t>
  </si>
  <si>
    <t>Investiciona vrednost (EUR)</t>
  </si>
  <si>
    <t>Subvencije (EUR)</t>
  </si>
  <si>
    <t>LCoE(EE) (EUR/MWh)</t>
  </si>
  <si>
    <t>FNPV (EUR)</t>
  </si>
  <si>
    <t>FIRR (%)</t>
  </si>
  <si>
    <t>Prinos na sopstveni kapital</t>
  </si>
  <si>
    <t>Finansijska diskontna stopa</t>
  </si>
  <si>
    <t>Grantovi</t>
  </si>
  <si>
    <t>Kredit</t>
  </si>
  <si>
    <t>Sopstveni kapital</t>
  </si>
  <si>
    <t>Ukupno</t>
  </si>
  <si>
    <t>Projekat “Bolja energija"</t>
  </si>
  <si>
    <t>ANALIZA SA UKLJUČENIM CO₂</t>
  </si>
  <si>
    <t>NPV CO² (EUR)</t>
  </si>
  <si>
    <t>IRR CO² (%)</t>
  </si>
  <si>
    <t>Toplota iz toplana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</si>
  <si>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</si>
  <si>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</si>
  <si>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</si>
  <si>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</si>
  <si>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</si>
  <si>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</si>
  <si>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</si>
  <si>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</si>
  <si>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</si>
  <si>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</si>
  <si>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</si>
  <si>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</si>
  <si>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</si>
  <si>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</si>
  <si>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</si>
  <si>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</si>
  <si>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</si>
  <si>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</si>
  <si>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</si>
  <si>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</si>
  <si>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</si>
  <si>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</si>
  <si>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</si>
  <si>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</si>
  <si>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</si>
  <si>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</si>
  <si>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</si>
  <si>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NPV</t>
  </si>
  <si>
    <t>IRR</t>
  </si>
  <si>
    <t>Bazni slučaj</t>
  </si>
  <si>
    <t>Cena toplote</t>
  </si>
  <si>
    <t>NPV = 0</t>
  </si>
  <si>
    <r>
      <t>Cena CO</t>
    </r>
    <r>
      <rPr>
        <b/>
        <sz val="11"/>
        <color theme="1"/>
        <rFont val="Calibri"/>
        <family val="2"/>
      </rPr>
      <t>₂</t>
    </r>
  </si>
  <si>
    <t>Investicije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</si>
</sst>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b/>
      <sz val="16"/>
      <color rgb="FFFFFFFF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rgb="FF002060"/>
        <bgColor rgb="FF0000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78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4" fontId="0" fillId="0" borderId="0" xfId="0" applyNumberFormat="1"/>
    <xf numFmtId="0" fontId="0" fillId="2" borderId="0" xfId="0" applyFill="1" applyAlignment="1">
      <alignment horizontal="center"/>
    </xf>
    <xf numFmtId="0" fontId="2" fillId="3" borderId="0" xfId="0" applyFont="1" applyFill="1"/>
    <xf numFmtId="0" fontId="2" fillId="4" borderId="0" xfId="0" applyFont="1" applyFill="1"/>
    <xf numFmtId="0" fontId="0" fillId="5" borderId="0" xfId="0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0" fontId="0" fillId="0" borderId="0" xfId="0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6" borderId="0" xfId="0" applyNumberFormat="1" applyFont="1" applyFill="1"/>
    <xf numFmtId="4" fontId="0" fillId="0" borderId="0" xfId="0" applyNumberFormat="1" applyAlignment="1">
      <alignment horizontal="right"/>
    </xf>
    <xf numFmtId="0" fontId="1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6" borderId="0" xfId="0" applyFont="1" applyFill="1"/>
    <xf numFmtId="0" fontId="2" fillId="3" borderId="0" xfId="0" applyFont="1" applyFill="1" applyProtection="1">
      <protection locked="0"/>
    </xf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0" borderId="0" xfId="0" applyFont="1"/>
    <xf numFmtId="4" fontId="2" fillId="0" borderId="0" xfId="0" applyNumberFormat="1" applyFont="1"/>
    <xf numFmtId="0" fontId="0" fillId="3" borderId="0" xfId="0" applyFill="1"/>
    <xf numFmtId="0" fontId="0" fillId="6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2" fontId="0" fillId="0" borderId="0" xfId="0" applyNumberFormat="1"/>
    <xf numFmtId="4" fontId="0" fillId="8" borderId="0" xfId="0" applyNumberFormat="1" applyFill="1"/>
    <xf numFmtId="0" fontId="0" fillId="0" borderId="0" xfId="0" applyAlignment="1">
      <alignment horizontal="left"/>
    </xf>
    <xf numFmtId="0" fontId="0" fillId="7" borderId="0" xfId="0" applyFill="1"/>
    <xf numFmtId="4" fontId="0" fillId="7" borderId="0" xfId="0" applyNumberFormat="1" applyFill="1"/>
    <xf numFmtId="0" fontId="0" fillId="12" borderId="0" xfId="0" applyFill="1" applyAlignment="1">
      <alignment horizontal="left"/>
    </xf>
    <xf numFmtId="0" fontId="15" fillId="0" borderId="0" xfId="0" applyFont="1" applyAlignment="1">
      <alignment horizontal="left"/>
    </xf>
    <xf numFmtId="0" fontId="15" fillId="12" borderId="0" xfId="0" applyFont="1" applyFill="1" applyAlignment="1">
      <alignment horizontal="left"/>
    </xf>
    <xf numFmtId="164" fontId="0" fillId="12" borderId="0" xfId="0" applyNumberFormat="1" applyFill="1"/>
    <xf numFmtId="0" fontId="0" fillId="12" borderId="0" xfId="0" applyFill="1"/>
    <xf numFmtId="10" fontId="0" fillId="12" borderId="0" xfId="0" applyNumberFormat="1" applyFill="1"/>
    <xf numFmtId="4" fontId="0" fillId="12" borderId="0" xfId="0" applyNumberFormat="1" applyFill="1"/>
    <xf numFmtId="0" fontId="14" fillId="0" borderId="1" xfId="0" applyFont="1" applyBorder="1" applyAlignment="1">
      <alignment horizontal="centerContinuous"/>
    </xf>
    <xf numFmtId="0" fontId="14" fillId="0" borderId="2" xfId="0" applyFont="1" applyBorder="1" applyAlignment="1">
      <alignment horizontal="centerContinuous"/>
    </xf>
    <xf numFmtId="0" fontId="14" fillId="0" borderId="3" xfId="0" applyFont="1" applyBorder="1" applyAlignment="1">
      <alignment horizontal="center"/>
    </xf>
    <xf numFmtId="0" fontId="14" fillId="0" borderId="0" xfId="0" applyFont="1"/>
    <xf numFmtId="164" fontId="0" fillId="0" borderId="0" xfId="0" applyNumberFormat="1"/>
    <xf numFmtId="10" fontId="0" fillId="0" borderId="0" xfId="2" applyNumberFormat="1" applyFont="1"/>
    <xf numFmtId="10" fontId="0" fillId="0" borderId="0" xfId="2" applyNumberFormat="1" applyFont="1" applyAlignment="1">
      <alignment horizontal="center"/>
    </xf>
    <xf numFmtId="164" fontId="0" fillId="0" borderId="0" xfId="2" applyNumberFormat="1" applyFont="1"/>
    <xf numFmtId="0" fontId="10" fillId="0" borderId="0" xfId="0" applyFont="1" applyAlignment="1">
      <alignment horizontal="center"/>
    </xf>
    <xf numFmtId="0" fontId="6" fillId="6" borderId="0" xfId="0" applyFont="1" applyFill="1" applyAlignment="1">
      <alignment horizontal="center" vertical="distributed"/>
    </xf>
    <xf numFmtId="0" fontId="3" fillId="6" borderId="0" xfId="0" applyFont="1" applyFill="1" applyAlignment="1">
      <alignment horizontal="center" vertical="distributed"/>
    </xf>
    <xf numFmtId="0" fontId="2" fillId="6" borderId="0" xfId="0" applyFont="1" applyFill="1" applyAlignment="1">
      <alignment horizontal="center"/>
    </xf>
    <xf numFmtId="0" fontId="9" fillId="9" borderId="0" xfId="1" applyFont="1" applyFill="1" applyAlignment="1" applyProtection="1">
      <alignment horizontal="center" vertical="distributed"/>
      <protection locked="0"/>
    </xf>
    <xf numFmtId="0" fontId="9" fillId="10" borderId="0" xfId="1" applyFont="1" applyFill="1" applyAlignment="1" applyProtection="1">
      <alignment horizontal="center" vertical="distributed"/>
      <protection locked="0"/>
    </xf>
    <xf numFmtId="0" fontId="2" fillId="6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7" borderId="0" xfId="0" applyFill="1" applyAlignment="1">
      <alignment horizontal="center"/>
    </xf>
    <xf numFmtId="0" fontId="11" fillId="11" borderId="0" xfId="0" applyFont="1" applyFill="1" applyAlignment="1">
      <alignment horizontal="center"/>
    </xf>
    <xf numFmtId="0" fontId="3" fillId="6" borderId="0" xfId="0" applyFont="1" applyFill="1" applyAlignment="1" applyProtection="1">
      <alignment horizontal="center" vertical="distributed"/>
      <protection locked="0"/>
    </xf>
    <xf numFmtId="0" fontId="1" fillId="6" borderId="0" xfId="0" applyFont="1" applyFill="1" applyAlignment="1">
      <alignment horizontal="left"/>
    </xf>
    <xf numFmtId="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0" fontId="0" fillId="0" borderId="0" xfId="2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2" fillId="11" borderId="0" xfId="0" applyFont="1" applyFill="1" applyAlignment="1">
      <alignment horizontal="left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-20846.991247600854</c:v>
                </c:pt>
                <c:pt idx="2">
                  <c:v>-19767.422605636431</c:v>
                </c:pt>
                <c:pt idx="3">
                  <c:v>-18756.616356084698</c:v>
                </c:pt>
                <c:pt idx="4">
                  <c:v>-17810.192725000277</c:v>
                </c:pt>
                <c:pt idx="5">
                  <c:v>-16924.050905168595</c:v>
                </c:pt>
                <c:pt idx="6">
                  <c:v>-16094.351287509144</c:v>
                </c:pt>
                <c:pt idx="7">
                  <c:v>-15317.498824237522</c:v>
                </c:pt>
                <c:pt idx="8">
                  <c:v>-14597.648327304028</c:v>
                </c:pt>
                <c:pt idx="9">
                  <c:v>-13934.134988667647</c:v>
                </c:pt>
                <c:pt idx="10">
                  <c:v>-13323.880762174253</c:v>
                </c:pt>
                <c:pt idx="11">
                  <c:v>-12764.02848866587</c:v>
                </c:pt>
                <c:pt idx="12">
                  <c:v>-12251.92903516244</c:v>
                </c:pt>
                <c:pt idx="13">
                  <c:v>-10996.033125302019</c:v>
                </c:pt>
                <c:pt idx="14">
                  <c:v>-9820.130653585722</c:v>
                </c:pt>
                <c:pt idx="15">
                  <c:v>-8719.1264922279661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D-4472-BABC-E594049E0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570832208"/>
        <c:axId val="1570833840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FinaIndicators!$E$9:$Y$9</c:f>
              <c:strCach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strCache>
            </c:str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11500</c:v>
                </c:pt>
                <c:pt idx="1">
                  <c:v>24163.560820924591</c:v>
                </c:pt>
                <c:pt idx="2">
                  <c:v>26189.315102835208</c:v>
                </c:pt>
                <c:pt idx="3">
                  <c:v>28086.040339764531</c:v>
                </c:pt>
                <c:pt idx="4">
                  <c:v>29861.954949216331</c:v>
                </c:pt>
                <c:pt idx="5">
                  <c:v>31524.753882165762</c:v>
                </c:pt>
                <c:pt idx="6">
                  <c:v>33081.641964904862</c:v>
                </c:pt>
                <c:pt idx="7">
                  <c:v>34539.365117201793</c:v>
                </c:pt>
                <c:pt idx="8">
                  <c:v>35911.760457645119</c:v>
                </c:pt>
                <c:pt idx="9">
                  <c:v>37207.228776877964</c:v>
                </c:pt>
                <c:pt idx="10">
                  <c:v>38431.180200271061</c:v>
                </c:pt>
                <c:pt idx="11">
                  <c:v>39588.705091863281</c:v>
                </c:pt>
                <c:pt idx="12">
                  <c:v>40684.595629771939</c:v>
                </c:pt>
                <c:pt idx="13">
                  <c:v>40934.269879469321</c:v>
                </c:pt>
                <c:pt idx="14">
                  <c:v>41168.041297178373</c:v>
                </c:pt>
                <c:pt idx="15">
                  <c:v>41386.922802996196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FD-4472-BABC-E594049E0151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3316.569573323738</c:v>
                </c:pt>
                <c:pt idx="2">
                  <c:v>6421.8924971987763</c:v>
                </c:pt>
                <c:pt idx="3">
                  <c:v>9329.4239836798351</c:v>
                </c:pt>
                <c:pt idx="4">
                  <c:v>12051.762224216052</c:v>
                </c:pt>
                <c:pt idx="5">
                  <c:v>14600.702976997169</c:v>
                </c:pt>
                <c:pt idx="6">
                  <c:v>16987.290677395718</c:v>
                </c:pt>
                <c:pt idx="7">
                  <c:v>19221.866292964271</c:v>
                </c:pt>
                <c:pt idx="8">
                  <c:v>21314.112130341091</c:v>
                </c:pt>
                <c:pt idx="9">
                  <c:v>23273.093788210317</c:v>
                </c:pt>
                <c:pt idx="10">
                  <c:v>25107.299438096808</c:v>
                </c:pt>
                <c:pt idx="11">
                  <c:v>26824.676603197411</c:v>
                </c:pt>
                <c:pt idx="12">
                  <c:v>28432.666594609498</c:v>
                </c:pt>
                <c:pt idx="13">
                  <c:v>29938.236754167301</c:v>
                </c:pt>
                <c:pt idx="14">
                  <c:v>31347.910643592651</c:v>
                </c:pt>
                <c:pt idx="15">
                  <c:v>32667.79631076823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FD-4472-BABC-E594049E0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570832208"/>
        <c:axId val="1570833840"/>
      </c:lineChart>
      <c:catAx>
        <c:axId val="15708322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833840"/>
        <c:crosses val="autoZero"/>
        <c:auto val="1"/>
        <c:lblAlgn val="ctr"/>
        <c:lblOffset val="100"/>
        <c:noMultiLvlLbl val="0"/>
      </c:catAx>
      <c:valAx>
        <c:axId val="157083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8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'FinInd+CO2'!$E$9:$Y$9</c:f>
              <c:strCach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strCache>
            </c:str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-19765.320952905015</c:v>
                </c:pt>
                <c:pt idx="2">
                  <c:v>-17680.497823685182</c:v>
                </c:pt>
                <c:pt idx="3">
                  <c:v>-15736.351560422434</c:v>
                </c:pt>
                <c:pt idx="4">
                  <c:v>-13924.30557117299</c:v>
                </c:pt>
                <c:pt idx="5">
                  <c:v>-12236.348217193678</c:v>
                </c:pt>
                <c:pt idx="6">
                  <c:v>-10664.997737302943</c:v>
                </c:pt>
                <c:pt idx="7">
                  <c:v>-9203.2694505790423</c:v>
                </c:pt>
                <c:pt idx="8">
                  <c:v>-7844.6450944299868</c:v>
                </c:pt>
                <c:pt idx="9">
                  <c:v>-6583.0441642806873</c:v>
                </c:pt>
                <c:pt idx="10">
                  <c:v>-5412.7971297519034</c:v>
                </c:pt>
                <c:pt idx="11">
                  <c:v>-4328.6204102905467</c:v>
                </c:pt>
                <c:pt idx="12">
                  <c:v>-3325.5930007864517</c:v>
                </c:pt>
                <c:pt idx="13">
                  <c:v>-1610.0384581019316</c:v>
                </c:pt>
                <c:pt idx="14">
                  <c:v>-3.7549984073557425</c:v>
                </c:pt>
                <c:pt idx="15">
                  <c:v>1500.2173258131952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B7-4CC0-8717-1B0384B28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570831120"/>
        <c:axId val="1570828944"/>
      </c:barChart>
      <c:lineChart>
        <c:grouping val="standard"/>
        <c:varyColors val="0"/>
        <c:ser>
          <c:idx val="0"/>
          <c:order val="0"/>
          <c:tx>
            <c:strRef>
              <c:f>'FinInd+CO2'!$A$60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FinaIndicators!$E$9:$Y$9</c:f>
              <c:strCach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strCache>
            </c:str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11500</c:v>
                </c:pt>
                <c:pt idx="1">
                  <c:v>24273.145176452774</c:v>
                </c:pt>
                <c:pt idx="2">
                  <c:v>26409.023464376303</c:v>
                </c:pt>
                <c:pt idx="3">
                  <c:v>28416.743904260136</c:v>
                </c:pt>
                <c:pt idx="4">
                  <c:v>30304.853148926442</c:v>
                </c:pt>
                <c:pt idx="5">
                  <c:v>32081.372150936782</c:v>
                </c:pt>
                <c:pt idx="6">
                  <c:v>33753.830555385583</c:v>
                </c:pt>
                <c:pt idx="7">
                  <c:v>35329.298946286093</c:v>
                </c:pt>
                <c:pt idx="8">
                  <c:v>36814.419085414527</c:v>
                </c:pt>
                <c:pt idx="9">
                  <c:v>38215.43227373789</c:v>
                </c:pt>
                <c:pt idx="10">
                  <c:v>39538.205957372527</c:v>
                </c:pt>
                <c:pt idx="11">
                  <c:v>40788.25869236821</c:v>
                </c:pt>
                <c:pt idx="12">
                  <c:v>41970.783575453461</c:v>
                </c:pt>
                <c:pt idx="13">
                  <c:v>42301.574054472745</c:v>
                </c:pt>
                <c:pt idx="14">
                  <c:v>42611.295058295604</c:v>
                </c:pt>
                <c:pt idx="15">
                  <c:v>42901.288592853918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B7-4CC0-8717-1B0384B28B22}"/>
            </c:ext>
          </c:extLst>
        </c:ser>
        <c:ser>
          <c:idx val="1"/>
          <c:order val="1"/>
          <c:tx>
            <c:strRef>
              <c:f>'FinInd+CO2'!$A$61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'FinInd+CO2'!$E$61:$Y$61</c:f>
              <c:numCache>
                <c:formatCode>#,##0.00</c:formatCode>
                <c:ptCount val="21"/>
                <c:pt idx="1">
                  <c:v>4507.8242235477601</c:v>
                </c:pt>
                <c:pt idx="2">
                  <c:v>8728.5256406911212</c:v>
                </c:pt>
                <c:pt idx="3">
                  <c:v>12680.392343837702</c:v>
                </c:pt>
                <c:pt idx="4">
                  <c:v>16380.547577753452</c:v>
                </c:pt>
                <c:pt idx="5">
                  <c:v>19845.023933743105</c:v>
                </c:pt>
                <c:pt idx="6">
                  <c:v>23088.832818082639</c:v>
                </c:pt>
                <c:pt idx="7">
                  <c:v>26126.029495707051</c:v>
                </c:pt>
                <c:pt idx="8">
                  <c:v>28969.77399098454</c:v>
                </c:pt>
                <c:pt idx="9">
                  <c:v>31632.388109457203</c:v>
                </c:pt>
                <c:pt idx="10">
                  <c:v>34125.408827620624</c:v>
                </c:pt>
                <c:pt idx="11">
                  <c:v>36459.638282077663</c:v>
                </c:pt>
                <c:pt idx="12">
                  <c:v>38645.190574667009</c:v>
                </c:pt>
                <c:pt idx="13">
                  <c:v>40691.535596370813</c:v>
                </c:pt>
                <c:pt idx="14">
                  <c:v>42607.540059888248</c:v>
                </c:pt>
                <c:pt idx="15">
                  <c:v>44401.505918667113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B7-4CC0-8717-1B0384B28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570831120"/>
        <c:axId val="1570828944"/>
      </c:lineChart>
      <c:catAx>
        <c:axId val="157083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Time</a:t>
                </a:r>
                <a:r>
                  <a:rPr lang="sr-Latn-RS" baseline="0"/>
                  <a:t>-frame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828944"/>
        <c:crosses val="autoZero"/>
        <c:auto val="1"/>
        <c:lblAlgn val="ctr"/>
        <c:lblOffset val="100"/>
        <c:noMultiLvlLbl val="0"/>
      </c:catAx>
      <c:valAx>
        <c:axId val="1570828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831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334.16856190634013</c:v>
                </c:pt>
                <c:pt idx="1">
                  <c:v>315.25336028900011</c:v>
                </c:pt>
                <c:pt idx="2">
                  <c:v>297.40883046132086</c:v>
                </c:pt>
                <c:pt idx="3">
                  <c:v>280.57436835973664</c:v>
                </c:pt>
                <c:pt idx="4">
                  <c:v>264.69280033937417</c:v>
                </c:pt>
                <c:pt idx="5">
                  <c:v>249.71018899940958</c:v>
                </c:pt>
                <c:pt idx="6">
                  <c:v>235.57564999944296</c:v>
                </c:pt>
                <c:pt idx="7">
                  <c:v>222.24117924475755</c:v>
                </c:pt>
                <c:pt idx="8">
                  <c:v>209.66148985354482</c:v>
                </c:pt>
                <c:pt idx="9">
                  <c:v>197.79385835240078</c:v>
                </c:pt>
                <c:pt idx="10">
                  <c:v>186.59797957773657</c:v>
                </c:pt>
                <c:pt idx="11">
                  <c:v>176.03582979031751</c:v>
                </c:pt>
                <c:pt idx="12">
                  <c:v>166.07153753803536</c:v>
                </c:pt>
                <c:pt idx="13">
                  <c:v>156.67126182833525</c:v>
                </c:pt>
                <c:pt idx="14">
                  <c:v>147.80307719654266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69-44DA-9CC9-633153E0B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smooth val="0"/>
        <c:axId val="1570821872"/>
        <c:axId val="1570822416"/>
        <c:extLst/>
      </c:lineChart>
      <c:catAx>
        <c:axId val="1570821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822416"/>
        <c:crosses val="autoZero"/>
        <c:auto val="1"/>
        <c:lblAlgn val="ctr"/>
        <c:lblOffset val="100"/>
        <c:noMultiLvlLbl val="0"/>
      </c:catAx>
      <c:valAx>
        <c:axId val="157082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82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R$18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3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6</xdr:row>
      <xdr:rowOff>57150</xdr:rowOff>
    </xdr:from>
    <xdr:to>
      <xdr:col>11</xdr:col>
      <xdr:colOff>534200</xdr:colOff>
      <xdr:row>8</xdr:row>
      <xdr:rowOff>66328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15150" y="571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33</xdr:row>
      <xdr:rowOff>9525</xdr:rowOff>
    </xdr:from>
    <xdr:to>
      <xdr:col>2</xdr:col>
      <xdr:colOff>524675</xdr:colOff>
      <xdr:row>34</xdr:row>
      <xdr:rowOff>161578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168592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136525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36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6</xdr:row>
      <xdr:rowOff>0</xdr:rowOff>
    </xdr:from>
    <xdr:to>
      <xdr:col>11</xdr:col>
      <xdr:colOff>534200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53250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10</xdr:row>
      <xdr:rowOff>0</xdr:rowOff>
    </xdr:from>
    <xdr:to>
      <xdr:col>2</xdr:col>
      <xdr:colOff>534200</xdr:colOff>
      <xdr:row>12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62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12</xdr:row>
      <xdr:rowOff>95250</xdr:rowOff>
    </xdr:from>
    <xdr:to>
      <xdr:col>15</xdr:col>
      <xdr:colOff>219875</xdr:colOff>
      <xdr:row>14</xdr:row>
      <xdr:rowOff>104428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7075" y="14287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1</xdr:col>
      <xdr:colOff>0</xdr:colOff>
      <xdr:row>0</xdr:row>
      <xdr:rowOff>0</xdr:rowOff>
    </xdr:from>
    <xdr:to>
      <xdr:col>4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180975</xdr:colOff>
          <xdr:row>16</xdr:row>
          <xdr:rowOff>200025</xdr:rowOff>
        </xdr:from>
        <xdr:to>
          <xdr:col>15</xdr:col>
          <xdr:colOff>447675</xdr:colOff>
          <xdr:row>18</xdr:row>
          <xdr:rowOff>19050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3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3</xdr:col>
      <xdr:colOff>85725</xdr:colOff>
      <xdr:row>16</xdr:row>
      <xdr:rowOff>28575</xdr:rowOff>
    </xdr:from>
    <xdr:to>
      <xdr:col>3</xdr:col>
      <xdr:colOff>524675</xdr:colOff>
      <xdr:row>18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14525" y="24288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9</xdr:row>
      <xdr:rowOff>104775</xdr:rowOff>
    </xdr:from>
    <xdr:to>
      <xdr:col>10</xdr:col>
      <xdr:colOff>534200</xdr:colOff>
      <xdr:row>11</xdr:row>
      <xdr:rowOff>113953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9429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96371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2344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11906</xdr:rowOff>
    </xdr:from>
    <xdr:to>
      <xdr:col>11</xdr:col>
      <xdr:colOff>617540</xdr:colOff>
      <xdr:row>7</xdr:row>
      <xdr:rowOff>140147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79715" y="11906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5688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400050</xdr:colOff>
      <xdr:row>12</xdr:row>
      <xdr:rowOff>104775</xdr:rowOff>
    </xdr:from>
    <xdr:to>
      <xdr:col>2</xdr:col>
      <xdr:colOff>229400</xdr:colOff>
      <xdr:row>14</xdr:row>
      <xdr:rowOff>113953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9650" y="1247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104775</xdr:rowOff>
    </xdr:from>
    <xdr:to>
      <xdr:col>2</xdr:col>
      <xdr:colOff>219875</xdr:colOff>
      <xdr:row>14</xdr:row>
      <xdr:rowOff>113953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47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roslav\OneDrive\Documents\Organizacije\Kroka\Radionica\Emisioni%20faktor.xlsx" TargetMode="External"/><Relationship Id="rId1" Type="http://schemas.openxmlformats.org/officeDocument/2006/relationships/externalLinkPath" Target="Emisioni%20fak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onvFaktor"/>
      <sheetName val="Goriva"/>
    </sheetNames>
    <sheetDataSet>
      <sheetData sheetId="0">
        <row r="16">
          <cell r="E16" t="str">
            <v/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3:R24"/>
  <sheetViews>
    <sheetView workbookViewId="0">
      <selection activeCell="H5" sqref="H5"/>
    </sheetView>
  </sheetViews>
  <sheetFormatPr defaultRowHeight="15" x14ac:dyDescent="0.25"/>
  <sheetData>
    <row r="3" spans="2:18" ht="16.5" x14ac:dyDescent="0.35">
      <c r="F3" s="55" t="s">
        <v>163</v>
      </c>
      <c r="G3" s="55"/>
      <c r="H3" s="55"/>
      <c r="I3" s="55"/>
    </row>
    <row r="7" spans="2:18" x14ac:dyDescent="0.25">
      <c r="B7" s="56" t="s">
        <v>0</v>
      </c>
      <c r="C7" s="56"/>
      <c r="D7" s="56"/>
      <c r="E7" s="56"/>
      <c r="F7" s="56"/>
      <c r="G7" s="56"/>
      <c r="H7" s="56"/>
      <c r="I7" s="56"/>
      <c r="J7" s="56"/>
      <c r="K7" s="56"/>
    </row>
    <row r="8" spans="2:18" x14ac:dyDescent="0.25">
      <c r="B8" s="56"/>
      <c r="C8" s="56"/>
      <c r="D8" s="56"/>
      <c r="E8" s="56"/>
      <c r="F8" s="56"/>
      <c r="G8" s="56"/>
      <c r="H8" s="56"/>
      <c r="I8" s="56"/>
      <c r="J8" s="56"/>
      <c r="K8" s="56"/>
    </row>
    <row r="9" spans="2:18" x14ac:dyDescent="0.25">
      <c r="B9" s="56"/>
      <c r="C9" s="56"/>
      <c r="D9" s="56"/>
      <c r="E9" s="56"/>
      <c r="F9" s="56"/>
      <c r="G9" s="56"/>
      <c r="H9" s="56"/>
      <c r="I9" s="56"/>
      <c r="J9" s="56"/>
      <c r="K9" s="56"/>
      <c r="M9" s="57" t="s">
        <v>2</v>
      </c>
      <c r="N9" s="57"/>
      <c r="O9" s="57"/>
      <c r="P9" s="57"/>
      <c r="Q9" s="57"/>
      <c r="R9" s="57"/>
    </row>
    <row r="10" spans="2:18" x14ac:dyDescent="0.25">
      <c r="B10" s="56"/>
      <c r="C10" s="56"/>
      <c r="D10" s="56"/>
      <c r="E10" s="56"/>
      <c r="F10" s="56"/>
      <c r="G10" s="56"/>
      <c r="H10" s="56"/>
      <c r="I10" s="56"/>
      <c r="J10" s="56"/>
      <c r="K10" s="56"/>
      <c r="M10" s="57"/>
      <c r="N10" s="57"/>
      <c r="O10" s="57"/>
      <c r="P10" s="57"/>
      <c r="Q10" s="57"/>
      <c r="R10" s="57"/>
    </row>
    <row r="11" spans="2:18" x14ac:dyDescent="0.25">
      <c r="B11" s="56"/>
      <c r="C11" s="56"/>
      <c r="D11" s="56"/>
      <c r="E11" s="56"/>
      <c r="F11" s="56"/>
      <c r="G11" s="56"/>
      <c r="H11" s="56"/>
      <c r="I11" s="56"/>
      <c r="J11" s="56"/>
      <c r="K11" s="56"/>
    </row>
    <row r="12" spans="2:18" x14ac:dyDescent="0.25">
      <c r="B12" s="56"/>
      <c r="C12" s="56"/>
      <c r="D12" s="56"/>
      <c r="E12" s="56"/>
      <c r="F12" s="56"/>
      <c r="G12" s="56"/>
      <c r="H12" s="56"/>
      <c r="I12" s="56"/>
      <c r="J12" s="56"/>
      <c r="K12" s="56"/>
      <c r="M12" s="58" t="s">
        <v>39</v>
      </c>
      <c r="N12" s="58"/>
      <c r="O12" s="58"/>
      <c r="P12" s="58"/>
      <c r="Q12" s="58"/>
      <c r="R12" s="58"/>
    </row>
    <row r="13" spans="2:18" x14ac:dyDescent="0.25">
      <c r="B13" s="56"/>
      <c r="C13" s="56"/>
      <c r="D13" s="56"/>
      <c r="E13" s="56"/>
      <c r="F13" s="56"/>
      <c r="G13" s="56"/>
      <c r="H13" s="56"/>
      <c r="I13" s="56"/>
      <c r="J13" s="56"/>
      <c r="K13" s="56"/>
    </row>
    <row r="14" spans="2:18" x14ac:dyDescent="0.25">
      <c r="B14" s="56"/>
      <c r="C14" s="56"/>
      <c r="D14" s="56"/>
      <c r="E14" s="56"/>
      <c r="F14" s="56"/>
      <c r="G14" s="56"/>
      <c r="H14" s="56"/>
      <c r="I14" s="56"/>
      <c r="J14" s="56"/>
      <c r="K14" s="56"/>
      <c r="M14" s="59" t="s">
        <v>143</v>
      </c>
      <c r="N14" s="59"/>
      <c r="Q14" s="60" t="s">
        <v>144</v>
      </c>
      <c r="R14" s="60"/>
    </row>
    <row r="15" spans="2:18" x14ac:dyDescent="0.25">
      <c r="B15" s="56"/>
      <c r="C15" s="56"/>
      <c r="D15" s="56"/>
      <c r="E15" s="56"/>
      <c r="F15" s="56"/>
      <c r="G15" s="56"/>
      <c r="H15" s="56"/>
      <c r="I15" s="56"/>
      <c r="J15" s="56"/>
      <c r="K15" s="56"/>
      <c r="M15" s="59"/>
      <c r="N15" s="59"/>
      <c r="Q15" s="60"/>
      <c r="R15" s="60"/>
    </row>
    <row r="16" spans="2:18" x14ac:dyDescent="0.25">
      <c r="B16" s="56"/>
      <c r="C16" s="56"/>
      <c r="D16" s="56"/>
      <c r="E16" s="56"/>
      <c r="F16" s="56"/>
      <c r="G16" s="56"/>
      <c r="H16" s="56"/>
      <c r="I16" s="56"/>
      <c r="J16" s="56"/>
      <c r="K16" s="56"/>
    </row>
    <row r="17" spans="2:11" x14ac:dyDescent="0.25">
      <c r="B17" s="56"/>
      <c r="C17" s="56"/>
      <c r="D17" s="56"/>
      <c r="E17" s="56"/>
      <c r="F17" s="56"/>
      <c r="G17" s="56"/>
      <c r="H17" s="56"/>
      <c r="I17" s="56"/>
      <c r="J17" s="56"/>
      <c r="K17" s="56"/>
    </row>
    <row r="18" spans="2:11" x14ac:dyDescent="0.25">
      <c r="B18" s="56"/>
      <c r="C18" s="56"/>
      <c r="D18" s="56"/>
      <c r="E18" s="56"/>
      <c r="F18" s="56"/>
      <c r="G18" s="56"/>
      <c r="H18" s="56"/>
      <c r="I18" s="56"/>
      <c r="J18" s="56"/>
      <c r="K18" s="56"/>
    </row>
    <row r="19" spans="2:11" x14ac:dyDescent="0.25">
      <c r="B19" s="56"/>
      <c r="C19" s="56"/>
      <c r="D19" s="56"/>
      <c r="E19" s="56"/>
      <c r="F19" s="56"/>
      <c r="G19" s="56"/>
      <c r="H19" s="56"/>
      <c r="I19" s="56"/>
      <c r="J19" s="56"/>
      <c r="K19" s="56"/>
    </row>
    <row r="20" spans="2:11" x14ac:dyDescent="0.25">
      <c r="B20" s="56"/>
      <c r="C20" s="56"/>
      <c r="D20" s="56"/>
      <c r="E20" s="56"/>
      <c r="F20" s="56"/>
      <c r="G20" s="56"/>
      <c r="H20" s="56"/>
      <c r="I20" s="56"/>
      <c r="J20" s="56"/>
      <c r="K20" s="56"/>
    </row>
    <row r="21" spans="2:11" x14ac:dyDescent="0.25">
      <c r="B21" s="56"/>
      <c r="C21" s="56"/>
      <c r="D21" s="56"/>
      <c r="E21" s="56"/>
      <c r="F21" s="56"/>
      <c r="G21" s="56"/>
      <c r="H21" s="56"/>
      <c r="I21" s="56"/>
      <c r="J21" s="56"/>
      <c r="K21" s="56"/>
    </row>
    <row r="22" spans="2:11" x14ac:dyDescent="0.25">
      <c r="B22" s="56"/>
      <c r="C22" s="56"/>
      <c r="D22" s="56"/>
      <c r="E22" s="56"/>
      <c r="F22" s="56"/>
      <c r="G22" s="56"/>
      <c r="H22" s="56"/>
      <c r="I22" s="56"/>
      <c r="J22" s="56"/>
      <c r="K22" s="56"/>
    </row>
    <row r="23" spans="2:11" x14ac:dyDescent="0.25">
      <c r="B23" s="56"/>
      <c r="C23" s="56"/>
      <c r="D23" s="56"/>
      <c r="E23" s="56"/>
      <c r="F23" s="56"/>
      <c r="G23" s="56"/>
      <c r="H23" s="56"/>
      <c r="I23" s="56"/>
      <c r="J23" s="56"/>
      <c r="K23" s="56"/>
    </row>
    <row r="24" spans="2:11" x14ac:dyDescent="0.25">
      <c r="B24" s="56"/>
      <c r="C24" s="56"/>
      <c r="D24" s="56"/>
      <c r="E24" s="56"/>
      <c r="F24" s="56"/>
      <c r="G24" s="56"/>
      <c r="H24" s="56"/>
      <c r="I24" s="56"/>
      <c r="J24" s="56"/>
      <c r="K24" s="56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 xr:uid="{00000000-0004-0000-0000-000000000000}"/>
    <hyperlink ref="Q14:R15" location="UnosPodataka!B2" display="DALJE" xr:uid="{00000000-0004-0000-0000-000001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 xr:uid="{00000000-0002-0000-0000-000000000000}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3:AB20"/>
  <sheetViews>
    <sheetView workbookViewId="0">
      <selection activeCell="F13" sqref="F13"/>
    </sheetView>
  </sheetViews>
  <sheetFormatPr defaultRowHeight="15" x14ac:dyDescent="0.25"/>
  <cols>
    <col min="6" max="6" width="10.85546875" customWidth="1"/>
  </cols>
  <sheetData>
    <row r="3" spans="1:28" ht="16.5" x14ac:dyDescent="0.35">
      <c r="F3" s="55" t="s">
        <v>163</v>
      </c>
      <c r="G3" s="55"/>
      <c r="H3" s="55"/>
      <c r="I3" s="55"/>
    </row>
    <row r="7" spans="1:28" x14ac:dyDescent="0.25">
      <c r="A7" s="71" t="s">
        <v>131</v>
      </c>
      <c r="B7" s="71"/>
      <c r="C7" s="71"/>
      <c r="D7" s="71"/>
      <c r="I7" s="59" t="s">
        <v>143</v>
      </c>
      <c r="J7" s="59"/>
      <c r="N7" s="60" t="s">
        <v>144</v>
      </c>
      <c r="O7" s="60"/>
    </row>
    <row r="8" spans="1:28" x14ac:dyDescent="0.25">
      <c r="A8" s="71"/>
      <c r="B8" s="71"/>
      <c r="C8" s="71"/>
      <c r="D8" s="71"/>
      <c r="I8" s="59"/>
      <c r="J8" s="59"/>
      <c r="N8" s="60"/>
      <c r="O8" s="60"/>
    </row>
    <row r="10" spans="1:28" x14ac:dyDescent="0.25">
      <c r="A10" s="61" t="s">
        <v>132</v>
      </c>
      <c r="B10" s="61"/>
      <c r="C10" s="61"/>
      <c r="D10" s="61"/>
      <c r="E10" s="20"/>
      <c r="F10" s="20">
        <f>IF(E10&lt;UnosPodataka!$M$18,E10+1,"")</f>
        <v>1</v>
      </c>
      <c r="G10" s="20">
        <f>IF(F10&lt;UnosPodataka!$M$21,F10+1,"")</f>
        <v>2</v>
      </c>
      <c r="H10" s="20">
        <f>IF(G10&lt;UnosPodataka!$M$21,G10+1,"")</f>
        <v>3</v>
      </c>
      <c r="I10" s="20">
        <f>IF(H10&lt;UnosPodataka!$M$21,H10+1,"")</f>
        <v>4</v>
      </c>
      <c r="J10" s="20">
        <f>IF(I10&lt;UnosPodataka!$M$21,I10+1,"")</f>
        <v>5</v>
      </c>
      <c r="K10" s="20">
        <f>IF(J10&lt;UnosPodataka!$M$21,J10+1,"")</f>
        <v>6</v>
      </c>
      <c r="L10" s="20">
        <f>IF(K10&lt;UnosPodataka!$M$21,K10+1,"")</f>
        <v>7</v>
      </c>
      <c r="M10" s="20">
        <f>IF(L10&lt;UnosPodataka!$M$21,L10+1,"")</f>
        <v>8</v>
      </c>
      <c r="N10" s="20">
        <f>IF(M10&lt;UnosPodataka!$M$21,M10+1,"")</f>
        <v>9</v>
      </c>
      <c r="O10" s="20">
        <f>IF(N10&lt;UnosPodataka!$M$21,N10+1,"")</f>
        <v>10</v>
      </c>
      <c r="P10" s="20">
        <f>IF(O10&lt;UnosPodataka!$M$21,O10+1,"")</f>
        <v>11</v>
      </c>
      <c r="Q10" s="20">
        <f>IF(P10&lt;UnosPodataka!$M$21,P10+1,"")</f>
        <v>12</v>
      </c>
      <c r="R10" s="20">
        <f>IF(Q10&lt;UnosPodataka!$M$21,Q10+1,"")</f>
        <v>13</v>
      </c>
      <c r="S10" s="20">
        <f>IF(R10&lt;UnosPodataka!$M$21,R10+1,"")</f>
        <v>14</v>
      </c>
      <c r="T10" s="20">
        <f>IF(S10&lt;UnosPodataka!$M$21,S10+1,"")</f>
        <v>15</v>
      </c>
      <c r="U10" s="20" t="str">
        <f>IF(T10&lt;UnosPodataka!$M$21,T10+1,"")</f>
        <v/>
      </c>
      <c r="V10" s="20" t="str">
        <f>IF(U10&lt;UnosPodataka!$M$21,U10+1,"")</f>
        <v/>
      </c>
      <c r="W10" s="20" t="str">
        <f>IF(V10&lt;UnosPodataka!$M$21,V10+1,"")</f>
        <v/>
      </c>
      <c r="X10" s="20" t="str">
        <f>IF(W10&lt;UnosPodataka!$M$21,W10+1,"")</f>
        <v/>
      </c>
      <c r="Y10" s="20" t="str">
        <f>IF(X10&lt;UnosPodataka!$M$21,X10+1,"")</f>
        <v/>
      </c>
      <c r="Z10" s="21"/>
      <c r="AA10" s="21"/>
      <c r="AB10" s="21"/>
    </row>
    <row r="12" spans="1:28" x14ac:dyDescent="0.25">
      <c r="A12" s="62" t="s">
        <v>133</v>
      </c>
      <c r="B12" s="62"/>
      <c r="C12" s="62"/>
      <c r="D12" s="62"/>
      <c r="E12" s="4"/>
      <c r="F12" s="4">
        <f>Investment</f>
        <v>22000</v>
      </c>
    </row>
    <row r="13" spans="1:28" x14ac:dyDescent="0.25">
      <c r="A13" s="62" t="s">
        <v>134</v>
      </c>
      <c r="B13" s="62"/>
      <c r="C13" s="62"/>
      <c r="D13" s="62"/>
      <c r="F13" s="4">
        <f>IF(F10&lt;&gt;"",-(FinaIndicators!F28+FinaIndicators!F33),"")</f>
        <v>4510.7419629516717</v>
      </c>
      <c r="G13" s="4">
        <f>IF(G10&lt;&gt;"",-(FinaIndicators!G28+FinaIndicators!G33),"")</f>
        <v>4510.7419629516717</v>
      </c>
      <c r="H13" s="4">
        <f>IF(H10&lt;&gt;"",-(FinaIndicators!H28+FinaIndicators!H33),"")</f>
        <v>4510.7419629516717</v>
      </c>
      <c r="I13" s="4">
        <f>IF(I10&lt;&gt;"",-(FinaIndicators!I28+FinaIndicators!I33),"")</f>
        <v>4510.7419629516717</v>
      </c>
      <c r="J13" s="4">
        <f>IF(J10&lt;&gt;"",-(FinaIndicators!J28+FinaIndicators!J33),"")</f>
        <v>4510.7419629516717</v>
      </c>
      <c r="K13" s="4">
        <f>IF(K10&lt;&gt;"",-(FinaIndicators!K28+FinaIndicators!K33),"")</f>
        <v>4510.7419629516717</v>
      </c>
      <c r="L13" s="4">
        <f>IF(L10&lt;&gt;"",-(FinaIndicators!L28+FinaIndicators!L33),"")</f>
        <v>4510.7419629516717</v>
      </c>
      <c r="M13" s="4">
        <f>IF(M10&lt;&gt;"",-(FinaIndicators!M28+FinaIndicators!M33),"")</f>
        <v>4498.0090682385562</v>
      </c>
      <c r="N13" s="4">
        <f>IF(N10&lt;&gt;"",-(FinaIndicators!N28+FinaIndicators!N33),"")</f>
        <v>4479.0471271515835</v>
      </c>
      <c r="O13" s="4">
        <f>IF(O10&lt;&gt;"",-(FinaIndicators!O28+FinaIndicators!O33),"")</f>
        <v>4457.8097531341718</v>
      </c>
      <c r="P13" s="4">
        <f>IF(P10&lt;&gt;"",-(FinaIndicators!P28+FinaIndicators!P33),"")</f>
        <v>4434.0238942346723</v>
      </c>
      <c r="Q13" s="4">
        <f>IF(Q10&lt;&gt;"",-(FinaIndicators!Q28+FinaIndicators!Q33),"")</f>
        <v>4407.3837322672316</v>
      </c>
      <c r="R13" s="4">
        <f>IF(R10&lt;&gt;"",-(FinaIndicators!R28+FinaIndicators!R33),"")</f>
        <v>2521.0234635327479</v>
      </c>
      <c r="S13" s="4">
        <f>IF(S10&lt;&gt;"",-(FinaIndicators!S28+FinaIndicators!S33),"")</f>
        <v>2521.0234635327479</v>
      </c>
      <c r="T13" s="4">
        <f>IF(T10&lt;&gt;"",-(FinaIndicators!T28+FinaIndicators!T33),"")</f>
        <v>2521.0234635327479</v>
      </c>
      <c r="U13" s="4" t="str">
        <f>IF(U10&lt;&gt;"",-(FinaIndicators!U28+FinaIndicators!#REF!),"")</f>
        <v/>
      </c>
      <c r="V13" s="4" t="str">
        <f>IF(V10&lt;&gt;"",-(FinaIndicators!V28+FinaIndicators!#REF!),"")</f>
        <v/>
      </c>
      <c r="W13" s="4" t="str">
        <f>IF(W10&lt;&gt;"",-(FinaIndicators!W28+FinaIndicators!#REF!),"")</f>
        <v/>
      </c>
      <c r="X13" s="4" t="str">
        <f>IF(X10&lt;&gt;"",-(FinaIndicators!X28+FinaIndicators!#REF!),"")</f>
        <v/>
      </c>
      <c r="Y13" s="4" t="str">
        <f>IF(Y10&lt;&gt;"",-(FinaIndicators!Y28+FinaIndicators!#REF!),"")</f>
        <v/>
      </c>
    </row>
    <row r="14" spans="1:28" x14ac:dyDescent="0.25">
      <c r="A14" s="62" t="s">
        <v>135</v>
      </c>
      <c r="B14" s="62"/>
      <c r="C14" s="62"/>
      <c r="D14" s="62"/>
      <c r="E14" s="4"/>
      <c r="F14" s="4">
        <f t="shared" ref="F14:Y14" si="0">IF(F10&lt;&gt;"",F12+F13,"")</f>
        <v>26510.741962951673</v>
      </c>
      <c r="G14" s="4">
        <f t="shared" si="0"/>
        <v>4510.7419629516717</v>
      </c>
      <c r="H14" s="4">
        <f t="shared" si="0"/>
        <v>4510.7419629516717</v>
      </c>
      <c r="I14" s="4">
        <f t="shared" si="0"/>
        <v>4510.7419629516717</v>
      </c>
      <c r="J14" s="4">
        <f t="shared" si="0"/>
        <v>4510.7419629516717</v>
      </c>
      <c r="K14" s="4">
        <f t="shared" si="0"/>
        <v>4510.7419629516717</v>
      </c>
      <c r="L14" s="4">
        <f t="shared" si="0"/>
        <v>4510.7419629516717</v>
      </c>
      <c r="M14" s="4">
        <f t="shared" si="0"/>
        <v>4498.0090682385562</v>
      </c>
      <c r="N14" s="4">
        <f t="shared" si="0"/>
        <v>4479.0471271515835</v>
      </c>
      <c r="O14" s="4">
        <f t="shared" si="0"/>
        <v>4457.8097531341718</v>
      </c>
      <c r="P14" s="4">
        <f t="shared" si="0"/>
        <v>4434.0238942346723</v>
      </c>
      <c r="Q14" s="4">
        <f t="shared" si="0"/>
        <v>4407.3837322672316</v>
      </c>
      <c r="R14" s="4">
        <f t="shared" si="0"/>
        <v>2521.0234635327479</v>
      </c>
      <c r="S14" s="4">
        <f t="shared" si="0"/>
        <v>2521.0234635327479</v>
      </c>
      <c r="T14" s="4">
        <f t="shared" si="0"/>
        <v>2521.0234635327479</v>
      </c>
      <c r="U14" s="4" t="str">
        <f t="shared" si="0"/>
        <v/>
      </c>
      <c r="V14" s="4" t="str">
        <f t="shared" si="0"/>
        <v/>
      </c>
      <c r="W14" s="4" t="str">
        <f>IF(W10&lt;&gt;"",W12+W13,"")</f>
        <v/>
      </c>
      <c r="X14" s="4" t="str">
        <f t="shared" si="0"/>
        <v/>
      </c>
      <c r="Y14" s="4" t="str">
        <f t="shared" si="0"/>
        <v/>
      </c>
    </row>
    <row r="15" spans="1:28" x14ac:dyDescent="0.25">
      <c r="A15" s="63"/>
      <c r="B15" s="63"/>
      <c r="C15" s="63"/>
      <c r="D15" s="63"/>
    </row>
    <row r="16" spans="1:28" x14ac:dyDescent="0.25">
      <c r="A16" s="62" t="s">
        <v>136</v>
      </c>
      <c r="B16" s="62"/>
      <c r="C16" s="62"/>
      <c r="D16" s="62"/>
      <c r="F16" s="4">
        <f>IF(F10&lt;&gt;"",FinaIndicators!F14,"")</f>
        <v>59.35085718029012</v>
      </c>
      <c r="G16" s="4">
        <f>IF(G10&lt;&gt;"",FinaIndicators!G14,"")</f>
        <v>59.35085718029012</v>
      </c>
      <c r="H16" s="4">
        <f>IF(H10&lt;&gt;"",FinaIndicators!H14,"")</f>
        <v>59.35085718029012</v>
      </c>
      <c r="I16" s="4">
        <f>IF(I10&lt;&gt;"",FinaIndicators!I14,"")</f>
        <v>59.35085718029012</v>
      </c>
      <c r="J16" s="4">
        <f>IF(J10&lt;&gt;"",FinaIndicators!J14,"")</f>
        <v>59.35085718029012</v>
      </c>
      <c r="K16" s="4">
        <f>IF(K10&lt;&gt;"",FinaIndicators!K14,"")</f>
        <v>59.35085718029012</v>
      </c>
      <c r="L16" s="4">
        <f>IF(L10&lt;&gt;"",FinaIndicators!L14,"")</f>
        <v>59.35085718029012</v>
      </c>
      <c r="M16" s="4">
        <f>IF(M10&lt;&gt;"",FinaIndicators!M14,"")</f>
        <v>59.35085718029012</v>
      </c>
      <c r="N16" s="4">
        <f>IF(N10&lt;&gt;"",FinaIndicators!N14,"")</f>
        <v>59.35085718029012</v>
      </c>
      <c r="O16" s="4">
        <f>IF(O10&lt;&gt;"",FinaIndicators!O14,"")</f>
        <v>59.35085718029012</v>
      </c>
      <c r="P16" s="4">
        <f>IF(P10&lt;&gt;"",FinaIndicators!P14,"")</f>
        <v>59.35085718029012</v>
      </c>
      <c r="Q16" s="4">
        <f>IF(Q10&lt;&gt;"",FinaIndicators!Q14,"")</f>
        <v>59.35085718029012</v>
      </c>
      <c r="R16" s="4">
        <f>IF(R10&lt;&gt;"",FinaIndicators!R14,"")</f>
        <v>59.35085718029012</v>
      </c>
      <c r="S16" s="4">
        <f>IF(S10&lt;&gt;"",FinaIndicators!S14,"")</f>
        <v>59.35085718029012</v>
      </c>
      <c r="T16" s="4">
        <f>IF(T10&lt;&gt;"",FinaIndicators!T14,"")</f>
        <v>59.35085718029012</v>
      </c>
      <c r="U16" s="4" t="str">
        <f>IF(U10&lt;&gt;"",FinaIndicators!U14,"")</f>
        <v/>
      </c>
      <c r="V16" s="4" t="str">
        <f>IF(V10&lt;&gt;"",FinaIndicators!V14,"")</f>
        <v/>
      </c>
      <c r="W16" s="4" t="str">
        <f>IF(W10&lt;&gt;"",FinaIndicators!W14,"")</f>
        <v/>
      </c>
      <c r="X16" s="4" t="str">
        <f>IF(X10&lt;&gt;"",FinaIndicators!X14,"")</f>
        <v/>
      </c>
      <c r="Y16" s="4" t="str">
        <f>IF(Y10&lt;&gt;"",FinaIndicators!Y14,"")</f>
        <v/>
      </c>
    </row>
    <row r="17" spans="1:25" ht="18" x14ac:dyDescent="0.35">
      <c r="A17" s="62" t="s">
        <v>137</v>
      </c>
      <c r="B17" s="62"/>
      <c r="C17" s="62"/>
      <c r="D17" s="62"/>
      <c r="F17" s="4">
        <f>IF(F10&lt;&gt;"",F16*UnosPodataka!$M$20,"")</f>
        <v>13.057188579663826</v>
      </c>
      <c r="G17" s="4">
        <f>IF(G10&lt;&gt;"",G16*UnosPodataka!$M$20,"")</f>
        <v>13.057188579663826</v>
      </c>
      <c r="H17" s="4">
        <f>IF(H10&lt;&gt;"",H16*UnosPodataka!$M$20,"")</f>
        <v>13.057188579663826</v>
      </c>
      <c r="I17" s="4">
        <f>IF(I10&lt;&gt;"",I16*UnosPodataka!$M$20,"")</f>
        <v>13.057188579663826</v>
      </c>
      <c r="J17" s="4">
        <f>IF(J10&lt;&gt;"",J16*UnosPodataka!$M$20,"")</f>
        <v>13.057188579663826</v>
      </c>
      <c r="K17" s="4">
        <f>IF(K10&lt;&gt;"",K16*UnosPodataka!$M$20,"")</f>
        <v>13.057188579663826</v>
      </c>
      <c r="L17" s="4">
        <f>IF(L10&lt;&gt;"",L16*UnosPodataka!$M$20,"")</f>
        <v>13.057188579663826</v>
      </c>
      <c r="M17" s="4">
        <f>IF(M10&lt;&gt;"",M16*UnosPodataka!$M$20,"")</f>
        <v>13.057188579663826</v>
      </c>
      <c r="N17" s="4">
        <f>IF(N10&lt;&gt;"",N16*UnosPodataka!$M$20,"")</f>
        <v>13.057188579663826</v>
      </c>
      <c r="O17" s="4">
        <f>IF(O10&lt;&gt;"",O16*UnosPodataka!$M$20,"")</f>
        <v>13.057188579663826</v>
      </c>
      <c r="P17" s="4">
        <f>IF(P10&lt;&gt;"",P16*UnosPodataka!$M$20,"")</f>
        <v>13.057188579663826</v>
      </c>
      <c r="Q17" s="4">
        <f>IF(Q10&lt;&gt;"",Q16*UnosPodataka!$M$20,"")</f>
        <v>13.057188579663826</v>
      </c>
      <c r="R17" s="4">
        <f>IF(R10&lt;&gt;"",R16*UnosPodataka!$M$20,"")</f>
        <v>13.057188579663826</v>
      </c>
      <c r="S17" s="4">
        <f>IF(S10&lt;&gt;"",S16*UnosPodataka!$M$20,"")</f>
        <v>13.057188579663826</v>
      </c>
      <c r="T17" s="4">
        <f>IF(T10&lt;&gt;"",T16*UnosPodataka!$M$20,"")</f>
        <v>13.057188579663826</v>
      </c>
      <c r="U17" s="4" t="str">
        <f>IF(U10&lt;&gt;"",U16*UnosPodataka!$M$20,"")</f>
        <v/>
      </c>
      <c r="V17" s="4" t="str">
        <f>IF(V10&lt;&gt;"",V16*UnosPodataka!$M$20,"")</f>
        <v/>
      </c>
      <c r="W17" s="4" t="str">
        <f>IF(W10&lt;&gt;"",W16*UnosPodataka!$M$20,"")</f>
        <v/>
      </c>
      <c r="X17" s="4" t="str">
        <f>IF(X10&lt;&gt;"",X16*UnosPodataka!$M$20,"")</f>
        <v/>
      </c>
      <c r="Y17" s="4" t="str">
        <f>IF(Y10&lt;&gt;"",Y16*UnosPodataka!$M$20,"")</f>
        <v/>
      </c>
    </row>
    <row r="19" spans="1:25" x14ac:dyDescent="0.25">
      <c r="A19" s="61" t="s">
        <v>35</v>
      </c>
      <c r="B19" s="61"/>
      <c r="C19" s="61"/>
      <c r="D19" s="61"/>
      <c r="E19" s="4">
        <f>NPV(UnosPodataka!M15,LCoEE!F14:Y14)/NPV(UnosPodataka!M15,LCoEE!F16:Y16)</f>
        <v>107.16460898455971</v>
      </c>
    </row>
    <row r="20" spans="1:25" ht="18" x14ac:dyDescent="0.35">
      <c r="A20" s="61" t="s">
        <v>36</v>
      </c>
      <c r="B20" s="61"/>
      <c r="C20" s="61"/>
      <c r="D20" s="61"/>
      <c r="E20" s="4">
        <f>NPV(UnosPodataka!M15,LCoEE!F14:Y14)/NPV(UnosPodataka!M15,LCoEE!F17:Y17)</f>
        <v>487.111859020726</v>
      </c>
    </row>
  </sheetData>
  <sheetProtection selectLockedCells="1"/>
  <mergeCells count="13">
    <mergeCell ref="N7:O8"/>
    <mergeCell ref="A16:D16"/>
    <mergeCell ref="A17:D17"/>
    <mergeCell ref="A19:D19"/>
    <mergeCell ref="F3:I3"/>
    <mergeCell ref="I7:J8"/>
    <mergeCell ref="A20:D20"/>
    <mergeCell ref="A7:D8"/>
    <mergeCell ref="A10:D10"/>
    <mergeCell ref="A12:D12"/>
    <mergeCell ref="A13:D13"/>
    <mergeCell ref="A14:D14"/>
    <mergeCell ref="A15:D15"/>
  </mergeCells>
  <hyperlinks>
    <hyperlink ref="I7:J8" location="GraphEcon!A5" display="NAZAD" xr:uid="{00000000-0004-0000-0900-000000000000}"/>
    <hyperlink ref="N7:O8" location="SALCoEE!A1" display="DALJE" xr:uid="{00000000-0004-0000-0900-000001000000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3:I37"/>
  <sheetViews>
    <sheetView topLeftCell="A6" workbookViewId="0">
      <selection activeCell="G22" sqref="G22"/>
    </sheetView>
  </sheetViews>
  <sheetFormatPr defaultRowHeight="15" x14ac:dyDescent="0.25"/>
  <cols>
    <col min="1" max="1" width="11.85546875" customWidth="1"/>
    <col min="2" max="2" width="11.42578125" customWidth="1"/>
    <col min="4" max="4" width="12.85546875" customWidth="1"/>
  </cols>
  <sheetData>
    <row r="3" spans="1:9" ht="16.5" x14ac:dyDescent="0.35">
      <c r="F3" s="55" t="s">
        <v>163</v>
      </c>
      <c r="G3" s="55"/>
      <c r="H3" s="55"/>
      <c r="I3" s="55"/>
    </row>
    <row r="7" spans="1:9" ht="21" x14ac:dyDescent="0.35">
      <c r="A7" s="67" t="s">
        <v>138</v>
      </c>
      <c r="B7" s="67"/>
      <c r="C7" s="67"/>
      <c r="D7" s="67"/>
    </row>
    <row r="8" spans="1:9" ht="15.75" thickBot="1" x14ac:dyDescent="0.3"/>
    <row r="9" spans="1:9" ht="15.75" thickBot="1" x14ac:dyDescent="0.3">
      <c r="B9" s="47" t="s">
        <v>193</v>
      </c>
      <c r="C9" s="48"/>
      <c r="D9" s="47" t="s">
        <v>194</v>
      </c>
      <c r="E9" s="48"/>
    </row>
    <row r="10" spans="1:9" ht="15.75" thickBot="1" x14ac:dyDescent="0.3">
      <c r="B10" s="49" t="s">
        <v>195</v>
      </c>
      <c r="C10" s="49" t="s">
        <v>196</v>
      </c>
      <c r="D10" s="49" t="s">
        <v>195</v>
      </c>
      <c r="E10" s="49" t="s">
        <v>196</v>
      </c>
    </row>
    <row r="12" spans="1:9" x14ac:dyDescent="0.25">
      <c r="A12" s="50" t="s">
        <v>197</v>
      </c>
      <c r="B12" s="51">
        <v>-8440.7510564659569</v>
      </c>
      <c r="C12" s="52">
        <v>3.3646500506345767E-3</v>
      </c>
      <c r="D12" s="51">
        <v>-290.23069947660025</v>
      </c>
      <c r="E12" s="10">
        <v>3.3646500506345767E-3</v>
      </c>
    </row>
    <row r="13" spans="1:9" x14ac:dyDescent="0.25">
      <c r="B13" s="51"/>
      <c r="D13" s="51"/>
    </row>
    <row r="14" spans="1:9" x14ac:dyDescent="0.25">
      <c r="A14" s="50" t="s">
        <v>198</v>
      </c>
      <c r="B14" s="51"/>
      <c r="D14" s="51"/>
    </row>
    <row r="15" spans="1:9" x14ac:dyDescent="0.25">
      <c r="A15" s="23">
        <v>0.1</v>
      </c>
      <c r="B15" s="51">
        <v>-6139.8139910101645</v>
      </c>
      <c r="C15" s="52">
        <v>2.172716769272931E-2</v>
      </c>
      <c r="D15" s="51">
        <v>1636.7530210074233</v>
      </c>
      <c r="E15" s="10">
        <v>2.172716769272931E-2</v>
      </c>
    </row>
    <row r="16" spans="1:9" x14ac:dyDescent="0.25">
      <c r="A16" s="23">
        <v>-0.1</v>
      </c>
      <c r="B16" s="51">
        <v>-10909.176536423531</v>
      </c>
      <c r="C16" s="52">
        <v>-1.7192312967345913E-2</v>
      </c>
      <c r="D16" s="51">
        <v>-2217.2144199606278</v>
      </c>
      <c r="E16" s="10">
        <v>-1.7192312967345913E-2</v>
      </c>
    </row>
    <row r="17" spans="1:5" x14ac:dyDescent="0.25">
      <c r="A17" s="9" t="s">
        <v>199</v>
      </c>
      <c r="B17" s="52">
        <v>0.41399999999999992</v>
      </c>
      <c r="C17" s="52"/>
      <c r="D17" s="52">
        <v>1.4999999999999902E-2</v>
      </c>
      <c r="E17" s="10"/>
    </row>
    <row r="18" spans="1:5" x14ac:dyDescent="0.25">
      <c r="B18" s="51"/>
      <c r="D18" s="51"/>
    </row>
    <row r="19" spans="1:5" x14ac:dyDescent="0.25">
      <c r="A19" s="50" t="s">
        <v>86</v>
      </c>
      <c r="B19" s="51"/>
      <c r="D19" s="51"/>
    </row>
    <row r="20" spans="1:5" x14ac:dyDescent="0.25">
      <c r="A20" s="23">
        <v>0.1</v>
      </c>
      <c r="B20" s="51">
        <v>-6139.8139910101627</v>
      </c>
      <c r="C20" s="52">
        <v>2.172716769272931E-2</v>
      </c>
      <c r="D20" s="51">
        <v>2405.7967463193454</v>
      </c>
      <c r="E20" s="10">
        <v>2.172716769272931E-2</v>
      </c>
    </row>
    <row r="21" spans="1:5" x14ac:dyDescent="0.25">
      <c r="A21" s="23">
        <v>-0.1</v>
      </c>
      <c r="B21" s="51">
        <v>-10909.176536423523</v>
      </c>
      <c r="C21" s="52">
        <v>-1.7192312967346135E-2</v>
      </c>
      <c r="D21" s="51">
        <v>-2986.2581452725485</v>
      </c>
      <c r="E21" s="10">
        <v>-1.7192312967346135E-2</v>
      </c>
    </row>
    <row r="22" spans="1:5" x14ac:dyDescent="0.25">
      <c r="A22" s="9" t="s">
        <v>199</v>
      </c>
      <c r="B22" s="52">
        <v>0.41399999999999992</v>
      </c>
      <c r="C22" s="52"/>
      <c r="D22" s="52">
        <v>1.0199999999999987E-2</v>
      </c>
      <c r="E22" s="10"/>
    </row>
    <row r="23" spans="1:5" x14ac:dyDescent="0.25">
      <c r="B23" s="51"/>
      <c r="D23" s="51"/>
    </row>
    <row r="24" spans="1:5" x14ac:dyDescent="0.25">
      <c r="A24" s="50" t="s">
        <v>200</v>
      </c>
      <c r="B24" s="51"/>
      <c r="D24" s="51"/>
    </row>
    <row r="25" spans="1:5" x14ac:dyDescent="0.25">
      <c r="A25" s="23">
        <v>0.1</v>
      </c>
      <c r="B25" s="51"/>
      <c r="C25" s="52"/>
      <c r="D25" s="51">
        <v>478.81302583532511</v>
      </c>
      <c r="E25" s="10">
        <v>3.3646500506345767E-3</v>
      </c>
    </row>
    <row r="26" spans="1:5" x14ac:dyDescent="0.25">
      <c r="A26" s="23">
        <v>-0.1</v>
      </c>
      <c r="B26" s="51"/>
      <c r="C26" s="52"/>
      <c r="D26" s="51">
        <v>-1059.274424788533</v>
      </c>
      <c r="E26" s="10">
        <v>3.3646500506345767E-3</v>
      </c>
    </row>
    <row r="27" spans="1:5" x14ac:dyDescent="0.25">
      <c r="A27" s="9" t="s">
        <v>199</v>
      </c>
      <c r="B27" s="52"/>
      <c r="C27" s="52"/>
      <c r="D27" s="53">
        <v>3.8000000000000034E-2</v>
      </c>
      <c r="E27" s="10"/>
    </row>
    <row r="28" spans="1:5" x14ac:dyDescent="0.25">
      <c r="B28" s="51"/>
      <c r="D28" s="51"/>
    </row>
    <row r="29" spans="1:5" x14ac:dyDescent="0.25">
      <c r="A29" s="50" t="s">
        <v>201</v>
      </c>
      <c r="B29" s="54"/>
      <c r="C29" s="52"/>
      <c r="D29" s="54"/>
      <c r="E29" s="10"/>
    </row>
    <row r="30" spans="1:5" x14ac:dyDescent="0.25">
      <c r="A30" s="23">
        <v>0.1</v>
      </c>
      <c r="B30" s="51">
        <v>-13223.270553890856</v>
      </c>
      <c r="C30" s="52">
        <v>-2.3762896714533688E-2</v>
      </c>
      <c r="D30" s="51">
        <v>-4603.8200287299569</v>
      </c>
      <c r="E30" s="10">
        <v>-2.3762896714533688E-2</v>
      </c>
    </row>
    <row r="31" spans="1:5" x14ac:dyDescent="0.25">
      <c r="A31" s="23">
        <v>-0.1</v>
      </c>
      <c r="B31" s="51">
        <v>-3679.8111949718686</v>
      </c>
      <c r="C31" s="52">
        <v>3.2591358872404497E-2</v>
      </c>
      <c r="D31" s="51">
        <v>4346.6673636076594</v>
      </c>
      <c r="E31" s="10">
        <v>3.2591358872404497E-2</v>
      </c>
    </row>
    <row r="32" spans="1:5" x14ac:dyDescent="0.25">
      <c r="A32" s="9" t="s">
        <v>199</v>
      </c>
      <c r="B32" s="52">
        <v>-0.17949999999999999</v>
      </c>
      <c r="C32" s="52"/>
      <c r="D32" s="52">
        <v>-6.4999999999999503E-3</v>
      </c>
      <c r="E32" s="10"/>
    </row>
    <row r="34" spans="1:5" x14ac:dyDescent="0.25">
      <c r="A34" s="59" t="s">
        <v>143</v>
      </c>
      <c r="B34" s="59"/>
      <c r="D34" s="60" t="s">
        <v>144</v>
      </c>
      <c r="E34" s="60"/>
    </row>
    <row r="35" spans="1:5" x14ac:dyDescent="0.25">
      <c r="A35" s="59"/>
      <c r="B35" s="59"/>
      <c r="D35" s="60"/>
      <c r="E35" s="60"/>
    </row>
    <row r="37" spans="1:5" hidden="1" x14ac:dyDescent="0.25">
      <c r="B37" s="51">
        <f>+FNPV</f>
        <v>-8440.7510564659569</v>
      </c>
      <c r="C37" s="52">
        <f>+FIRR</f>
        <v>3.3646500506345767E-3</v>
      </c>
      <c r="D37" s="51">
        <f>+'FinInd+CO2'!$E$44</f>
        <v>-290.23069947660025</v>
      </c>
      <c r="E37" s="10">
        <f>+FIRR</f>
        <v>3.3646500506345767E-3</v>
      </c>
    </row>
  </sheetData>
  <sheetProtection selectLockedCells="1"/>
  <mergeCells count="4">
    <mergeCell ref="F3:I3"/>
    <mergeCell ref="A34:B35"/>
    <mergeCell ref="D34:E35"/>
    <mergeCell ref="A7:D7"/>
  </mergeCells>
  <hyperlinks>
    <hyperlink ref="A34:B35" location="LCoEE!I1" display="NAZAD" xr:uid="{00000000-0004-0000-0A00-000000000000}"/>
    <hyperlink ref="D34:E35" location="AkoESCO!A1" display="DALJE" xr:uid="{00000000-0004-0000-0A00-000001000000}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Y16"/>
  <sheetViews>
    <sheetView workbookViewId="0">
      <selection activeCell="G7" sqref="G7"/>
    </sheetView>
  </sheetViews>
  <sheetFormatPr defaultRowHeight="15" x14ac:dyDescent="0.25"/>
  <cols>
    <col min="5" max="5" width="11.42578125" customWidth="1"/>
  </cols>
  <sheetData>
    <row r="3" spans="1:25" ht="16.5" x14ac:dyDescent="0.35">
      <c r="F3" s="55" t="s">
        <v>163</v>
      </c>
      <c r="G3" s="55"/>
      <c r="H3" s="55"/>
      <c r="I3" s="55"/>
    </row>
    <row r="7" spans="1:25" x14ac:dyDescent="0.25">
      <c r="A7" s="57" t="s">
        <v>146</v>
      </c>
      <c r="B7" s="57"/>
      <c r="C7" s="57"/>
      <c r="D7" s="57"/>
      <c r="I7" s="59" t="s">
        <v>143</v>
      </c>
      <c r="J7" s="59"/>
      <c r="N7" s="60" t="s">
        <v>144</v>
      </c>
      <c r="O7" s="60"/>
    </row>
    <row r="8" spans="1:25" x14ac:dyDescent="0.25">
      <c r="A8" s="57"/>
      <c r="B8" s="57"/>
      <c r="C8" s="57"/>
      <c r="D8" s="57"/>
      <c r="I8" s="59"/>
      <c r="J8" s="59"/>
      <c r="N8" s="60"/>
      <c r="O8" s="60"/>
    </row>
    <row r="10" spans="1:25" x14ac:dyDescent="0.25">
      <c r="A10" s="61" t="s">
        <v>132</v>
      </c>
      <c r="B10" s="61"/>
      <c r="C10" s="61"/>
      <c r="D10" s="61"/>
      <c r="E10" s="20"/>
      <c r="F10" s="20">
        <f>IF(E10&lt;UnosPodataka!$M$21,E10+1,"")</f>
        <v>1</v>
      </c>
      <c r="G10" s="20">
        <f>IF(F10&lt;UnosPodataka!$M$21,F10+1,"")</f>
        <v>2</v>
      </c>
      <c r="H10" s="20">
        <f>IF(G10&lt;UnosPodataka!$M$21,G10+1,"")</f>
        <v>3</v>
      </c>
      <c r="I10" s="20">
        <f>IF(H10&lt;UnosPodataka!$M$21,H10+1,"")</f>
        <v>4</v>
      </c>
      <c r="J10" s="20">
        <f>IF(I10&lt;UnosPodataka!$M$21,I10+1,"")</f>
        <v>5</v>
      </c>
      <c r="K10" s="20">
        <f>IF(J10&lt;UnosPodataka!$M$21,J10+1,"")</f>
        <v>6</v>
      </c>
      <c r="L10" s="20">
        <f>IF(K10&lt;UnosPodataka!$M$21,K10+1,"")</f>
        <v>7</v>
      </c>
      <c r="M10" s="20">
        <f>IF(L10&lt;UnosPodataka!$M$21,L10+1,"")</f>
        <v>8</v>
      </c>
      <c r="N10" s="20">
        <f>IF(M10&lt;UnosPodataka!$M$21,M10+1,"")</f>
        <v>9</v>
      </c>
      <c r="O10" s="20">
        <f>IF(N10&lt;UnosPodataka!$M$21,N10+1,"")</f>
        <v>10</v>
      </c>
      <c r="P10" s="20">
        <f>IF(O10&lt;UnosPodataka!$M$21,O10+1,"")</f>
        <v>11</v>
      </c>
      <c r="Q10" s="20">
        <f>IF(P10&lt;UnosPodataka!$M$21,P10+1,"")</f>
        <v>12</v>
      </c>
      <c r="R10" s="20">
        <f>IF(Q10&lt;UnosPodataka!$M$21,Q10+1,"")</f>
        <v>13</v>
      </c>
      <c r="S10" s="20">
        <f>IF(R10&lt;UnosPodataka!$M$21,R10+1,"")</f>
        <v>14</v>
      </c>
      <c r="T10" s="20">
        <f>IF(S10&lt;UnosPodataka!$M$21,S10+1,"")</f>
        <v>15</v>
      </c>
      <c r="U10" s="20" t="str">
        <f>IF(T10&lt;UnosPodataka!$M$21,T10+1,"")</f>
        <v/>
      </c>
      <c r="V10" s="20" t="str">
        <f>IF(U10&lt;UnosPodataka!$M$21,U10+1,"")</f>
        <v/>
      </c>
      <c r="W10" s="20" t="str">
        <f>IF(V10&lt;UnosPodataka!$M$21,V10+1,"")</f>
        <v/>
      </c>
      <c r="X10" s="20" t="str">
        <f>IF(W10&lt;UnosPodataka!$M$21,W10+1,"")</f>
        <v/>
      </c>
      <c r="Y10" s="20" t="str">
        <f>IF(X10&lt;UnosPodataka!$M$21,X10+1,"")</f>
        <v/>
      </c>
    </row>
    <row r="12" spans="1:25" x14ac:dyDescent="0.25">
      <c r="A12" s="62" t="s">
        <v>147</v>
      </c>
      <c r="B12" s="62"/>
      <c r="C12" s="62"/>
      <c r="D12" s="62"/>
      <c r="E12" s="4">
        <v>0</v>
      </c>
      <c r="F12" s="4">
        <f>IF(F10&lt;&gt;"",-FinaIndicators!F27,"")</f>
        <v>354.2186756207206</v>
      </c>
      <c r="G12" s="4">
        <f>IF(G10&lt;&gt;"",-FinaIndicators!G27,"")</f>
        <v>354.2186756207206</v>
      </c>
      <c r="H12" s="4">
        <f>IF(H10&lt;&gt;"",-FinaIndicators!H27,"")</f>
        <v>354.2186756207206</v>
      </c>
      <c r="I12" s="4">
        <f>IF(I10&lt;&gt;"",-FinaIndicators!I27,"")</f>
        <v>354.2186756207206</v>
      </c>
      <c r="J12" s="4">
        <f>IF(J10&lt;&gt;"",-FinaIndicators!J27,"")</f>
        <v>354.2186756207206</v>
      </c>
      <c r="K12" s="4">
        <f>IF(K10&lt;&gt;"",-FinaIndicators!K27,"")</f>
        <v>354.2186756207206</v>
      </c>
      <c r="L12" s="4">
        <f>IF(L10&lt;&gt;"",-FinaIndicators!L27,"")</f>
        <v>354.2186756207206</v>
      </c>
      <c r="M12" s="4">
        <f>IF(M10&lt;&gt;"",-FinaIndicators!M27,"")</f>
        <v>354.2186756207206</v>
      </c>
      <c r="N12" s="4">
        <f>IF(N10&lt;&gt;"",-FinaIndicators!N27,"")</f>
        <v>354.2186756207206</v>
      </c>
      <c r="O12" s="4">
        <f>IF(O10&lt;&gt;"",-FinaIndicators!O27,"")</f>
        <v>354.2186756207206</v>
      </c>
      <c r="P12" s="4">
        <f>IF(P10&lt;&gt;"",-FinaIndicators!P27,"")</f>
        <v>354.2186756207206</v>
      </c>
      <c r="Q12" s="4">
        <f>IF(Q10&lt;&gt;"",-FinaIndicators!Q27,"")</f>
        <v>354.2186756207206</v>
      </c>
      <c r="R12" s="4">
        <f>IF(R10&lt;&gt;"",-FinaIndicators!R27,"")</f>
        <v>354.2186756207206</v>
      </c>
      <c r="S12" s="4">
        <f>IF(S10&lt;&gt;"",-FinaIndicators!S27,"")</f>
        <v>354.2186756207206</v>
      </c>
      <c r="T12" s="4">
        <f>IF(T10&lt;&gt;"",-FinaIndicators!T27,"")</f>
        <v>354.2186756207206</v>
      </c>
      <c r="U12" s="4" t="str">
        <f>IF(U10&lt;&gt;"",-FinaIndicators!U27,"")</f>
        <v/>
      </c>
      <c r="V12" s="4" t="str">
        <f>IF(V10&lt;&gt;"",-FinaIndicators!V27,"")</f>
        <v/>
      </c>
      <c r="W12" s="4" t="str">
        <f>IF(W10&lt;&gt;"",-FinaIndicators!W27,"")</f>
        <v/>
      </c>
      <c r="X12" s="4" t="str">
        <f>IF(X10&lt;&gt;"",-FinaIndicators!X27,"")</f>
        <v/>
      </c>
      <c r="Y12" s="4" t="str">
        <f>IF(Y10&lt;&gt;"",-FinaIndicators!Y27,"")</f>
        <v/>
      </c>
    </row>
    <row r="13" spans="1:25" x14ac:dyDescent="0.25">
      <c r="A13" s="62" t="s">
        <v>148</v>
      </c>
      <c r="B13" s="62"/>
      <c r="C13" s="62"/>
      <c r="D13" s="62"/>
      <c r="E13" s="4">
        <v>0</v>
      </c>
      <c r="F13" s="4">
        <f>IF(F10&lt;&gt;"",F12*(1+UnosPodataka!$M$15)^(-F10),"")</f>
        <v>334.16856190634013</v>
      </c>
      <c r="G13" s="4">
        <f>IF(G10&lt;&gt;"",G12*(1+UnosPodataka!$M$15)^(-G10),"")</f>
        <v>315.25336028900011</v>
      </c>
      <c r="H13" s="4">
        <f>IF(H10&lt;&gt;"",H12*(1+UnosPodataka!$M$15)^(-H10),"")</f>
        <v>297.40883046132086</v>
      </c>
      <c r="I13" s="4">
        <f>IF(I10&lt;&gt;"",I12*(1+UnosPodataka!$M$15)^(-I10),"")</f>
        <v>280.57436835973664</v>
      </c>
      <c r="J13" s="4">
        <f>IF(J10&lt;&gt;"",J12*(1+UnosPodataka!$M$15)^(-J10),"")</f>
        <v>264.69280033937417</v>
      </c>
      <c r="K13" s="4">
        <f>IF(K10&lt;&gt;"",K12*(1+UnosPodataka!$M$15)^(-K10),"")</f>
        <v>249.71018899940958</v>
      </c>
      <c r="L13" s="4">
        <f>IF(L10&lt;&gt;"",L12*(1+UnosPodataka!$M$15)^(-L10),"")</f>
        <v>235.57564999944296</v>
      </c>
      <c r="M13" s="4">
        <f>IF(M10&lt;&gt;"",M12*(1+UnosPodataka!$M$15)^(-M10),"")</f>
        <v>222.24117924475755</v>
      </c>
      <c r="N13" s="4">
        <f>IF(N10&lt;&gt;"",N12*(1+UnosPodataka!$M$15)^(-N10),"")</f>
        <v>209.66148985354482</v>
      </c>
      <c r="O13" s="4">
        <f>IF(O10&lt;&gt;"",O12*(1+UnosPodataka!$M$15)^(-O10),"")</f>
        <v>197.79385835240078</v>
      </c>
      <c r="P13" s="4">
        <f>IF(P10&lt;&gt;"",P12*(1+UnosPodataka!$M$15)^(-P10),"")</f>
        <v>186.59797957773657</v>
      </c>
      <c r="Q13" s="4">
        <f>IF(Q10&lt;&gt;"",Q12*(1+UnosPodataka!$M$15)^(-Q10),"")</f>
        <v>176.03582979031751</v>
      </c>
      <c r="R13" s="4">
        <f>IF(R10&lt;&gt;"",R12*(1+UnosPodataka!$M$15)^(-R10),"")</f>
        <v>166.07153753803536</v>
      </c>
      <c r="S13" s="4">
        <f>IF(S10&lt;&gt;"",S12*(1+UnosPodataka!$M$15)^(-S10),"")</f>
        <v>156.67126182833525</v>
      </c>
      <c r="T13" s="4">
        <f>IF(T10&lt;&gt;"",T12*(1+UnosPodataka!$M$15)^(-T10),"")</f>
        <v>147.80307719654266</v>
      </c>
      <c r="U13" s="4" t="str">
        <f>IF(U10&lt;&gt;"",U12*(1+UnosPodataka!$M$15)^(-U10),"")</f>
        <v/>
      </c>
      <c r="V13" s="4" t="str">
        <f>IF(V10&lt;&gt;"",V12*(1+UnosPodataka!$M$15)^(-V10),"")</f>
        <v/>
      </c>
      <c r="W13" s="4" t="str">
        <f>IF(W10&lt;&gt;"",W12*(1+UnosPodataka!$M$15)^(-W10),"")</f>
        <v/>
      </c>
      <c r="X13" s="4" t="str">
        <f>IF(X10&lt;&gt;"",X12*(1+UnosPodataka!$M$15)^(-X10),"")</f>
        <v/>
      </c>
      <c r="Y13" s="4" t="str">
        <f>IF(Y10&lt;&gt;"",Y12*(1+UnosPodataka!$M$15)^(-Y10),"")</f>
        <v/>
      </c>
    </row>
    <row r="15" spans="1:25" x14ac:dyDescent="0.25">
      <c r="A15" s="72" t="s">
        <v>33</v>
      </c>
      <c r="B15" s="72"/>
      <c r="C15" s="72"/>
      <c r="D15" s="72"/>
      <c r="E15" s="22">
        <f>NPV(UnosPodataka!M15,AkoESCO!F12:Y12)</f>
        <v>3440.2599737362957</v>
      </c>
    </row>
    <row r="16" spans="1:25" x14ac:dyDescent="0.25">
      <c r="A16" s="72" t="s">
        <v>34</v>
      </c>
      <c r="B16" s="72"/>
      <c r="C16" s="72"/>
      <c r="D16" s="72"/>
      <c r="E16" s="9" t="s">
        <v>149</v>
      </c>
    </row>
  </sheetData>
  <mergeCells count="9">
    <mergeCell ref="A13:D13"/>
    <mergeCell ref="A15:D15"/>
    <mergeCell ref="A16:D16"/>
    <mergeCell ref="I7:J8"/>
    <mergeCell ref="N7:O8"/>
    <mergeCell ref="A7:D8"/>
    <mergeCell ref="A10:D10"/>
    <mergeCell ref="A12:D12"/>
    <mergeCell ref="F3:I3"/>
  </mergeCells>
  <hyperlinks>
    <hyperlink ref="I7:J8" location="SALCoEE!A9" display="NAZAD" xr:uid="{00000000-0004-0000-0B00-000000000000}"/>
    <hyperlink ref="N7:O8" location="ESCOGrafFina!A1" display="DALJE" xr:uid="{00000000-0004-0000-0B00-000001000000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I12"/>
  <sheetViews>
    <sheetView workbookViewId="0">
      <selection activeCell="I7" sqref="I7"/>
    </sheetView>
  </sheetViews>
  <sheetFormatPr defaultRowHeight="15" x14ac:dyDescent="0.25"/>
  <sheetData>
    <row r="3" spans="1:9" ht="16.5" x14ac:dyDescent="0.35">
      <c r="F3" s="55" t="s">
        <v>163</v>
      </c>
      <c r="G3" s="55"/>
      <c r="H3" s="55"/>
      <c r="I3" s="55"/>
    </row>
    <row r="7" spans="1:9" x14ac:dyDescent="0.25">
      <c r="A7" s="57" t="s">
        <v>150</v>
      </c>
      <c r="B7" s="57"/>
      <c r="C7" s="57"/>
      <c r="D7" s="57"/>
    </row>
    <row r="8" spans="1:9" x14ac:dyDescent="0.25">
      <c r="A8" s="57"/>
      <c r="B8" s="57"/>
      <c r="C8" s="57"/>
      <c r="D8" s="57"/>
    </row>
    <row r="9" spans="1:9" x14ac:dyDescent="0.25">
      <c r="A9" s="57"/>
      <c r="B9" s="57"/>
      <c r="C9" s="57"/>
      <c r="D9" s="57"/>
    </row>
    <row r="11" spans="1:9" x14ac:dyDescent="0.25">
      <c r="A11" s="59" t="s">
        <v>143</v>
      </c>
      <c r="B11" s="59"/>
      <c r="D11" s="60" t="s">
        <v>144</v>
      </c>
      <c r="E11" s="60"/>
    </row>
    <row r="12" spans="1:9" x14ac:dyDescent="0.25">
      <c r="A12" s="59"/>
      <c r="B12" s="59"/>
      <c r="D12" s="60"/>
      <c r="E12" s="60"/>
    </row>
  </sheetData>
  <mergeCells count="4">
    <mergeCell ref="A7:D9"/>
    <mergeCell ref="A11:B12"/>
    <mergeCell ref="D11:E12"/>
    <mergeCell ref="F3:I3"/>
  </mergeCells>
  <hyperlinks>
    <hyperlink ref="A11:B12" location="AkoESCO!I1" display="NAZAD" xr:uid="{00000000-0004-0000-0C00-000000000000}"/>
    <hyperlink ref="D11:E12" location="REZIME!A1" display="DALJE" xr:uid="{00000000-0004-0000-0C00-000001000000}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3:I21"/>
  <sheetViews>
    <sheetView workbookViewId="0">
      <selection activeCell="K27" sqref="K27"/>
    </sheetView>
  </sheetViews>
  <sheetFormatPr defaultRowHeight="15" x14ac:dyDescent="0.25"/>
  <sheetData>
    <row r="3" spans="1:9" ht="16.5" x14ac:dyDescent="0.35">
      <c r="F3" s="55" t="s">
        <v>163</v>
      </c>
      <c r="G3" s="55"/>
      <c r="H3" s="55"/>
      <c r="I3" s="55"/>
    </row>
    <row r="7" spans="1:9" x14ac:dyDescent="0.25">
      <c r="A7" s="71" t="s">
        <v>151</v>
      </c>
      <c r="B7" s="71"/>
      <c r="C7" s="71"/>
      <c r="D7" s="71"/>
    </row>
    <row r="8" spans="1:9" x14ac:dyDescent="0.25">
      <c r="A8" s="71"/>
      <c r="B8" s="71"/>
      <c r="C8" s="71"/>
      <c r="D8" s="71"/>
    </row>
    <row r="9" spans="1:9" x14ac:dyDescent="0.25">
      <c r="B9" s="61" t="s">
        <v>37</v>
      </c>
      <c r="C9" s="61"/>
      <c r="D9" s="61"/>
      <c r="E9" s="63" t="str">
        <f>PROJEKAT</f>
        <v>Ugradnja TS ventila i alokatora troškova</v>
      </c>
      <c r="F9" s="63"/>
      <c r="G9" s="63"/>
      <c r="H9" s="63"/>
      <c r="I9" s="63"/>
    </row>
    <row r="10" spans="1:9" x14ac:dyDescent="0.25">
      <c r="B10" s="61" t="s">
        <v>152</v>
      </c>
      <c r="C10" s="61"/>
      <c r="D10" s="61"/>
      <c r="E10" s="73">
        <f>Investment</f>
        <v>22000</v>
      </c>
      <c r="F10" s="73"/>
      <c r="G10" s="73"/>
      <c r="H10" s="73"/>
      <c r="I10" s="73"/>
    </row>
    <row r="11" spans="1:9" x14ac:dyDescent="0.25">
      <c r="B11" s="61" t="s">
        <v>153</v>
      </c>
      <c r="C11" s="61"/>
      <c r="D11" s="61"/>
      <c r="E11" s="73">
        <f>Investment-EQUITY-LOAN</f>
        <v>8500</v>
      </c>
      <c r="F11" s="73"/>
      <c r="G11" s="73"/>
      <c r="H11" s="73"/>
      <c r="I11" s="73"/>
    </row>
    <row r="12" spans="1:9" x14ac:dyDescent="0.25">
      <c r="B12" s="61" t="s">
        <v>113</v>
      </c>
      <c r="C12" s="61"/>
      <c r="D12" s="61"/>
      <c r="E12" s="73">
        <f>EQUITY</f>
        <v>2000</v>
      </c>
      <c r="F12" s="73"/>
      <c r="G12" s="73"/>
      <c r="H12" s="73"/>
      <c r="I12" s="73"/>
    </row>
    <row r="13" spans="1:9" x14ac:dyDescent="0.25">
      <c r="B13" s="61" t="s">
        <v>112</v>
      </c>
      <c r="C13" s="61"/>
      <c r="D13" s="61"/>
      <c r="E13" s="73">
        <f>LOAN</f>
        <v>11500</v>
      </c>
      <c r="F13" s="73"/>
      <c r="G13" s="73"/>
      <c r="H13" s="73"/>
      <c r="I13" s="73"/>
    </row>
    <row r="14" spans="1:9" x14ac:dyDescent="0.25">
      <c r="B14" s="61" t="s">
        <v>154</v>
      </c>
      <c r="C14" s="61"/>
      <c r="D14" s="61"/>
      <c r="E14" s="73">
        <f>LCOEE</f>
        <v>107.16460898455971</v>
      </c>
      <c r="F14" s="73"/>
      <c r="G14" s="73"/>
      <c r="H14" s="73"/>
      <c r="I14" s="73"/>
    </row>
    <row r="15" spans="1:9" x14ac:dyDescent="0.25">
      <c r="B15" s="61" t="s">
        <v>155</v>
      </c>
      <c r="C15" s="61"/>
      <c r="D15" s="61"/>
      <c r="E15" s="74">
        <f>FNPV</f>
        <v>-8440.7510564659569</v>
      </c>
      <c r="F15" s="74"/>
      <c r="G15" s="74"/>
      <c r="H15" s="74"/>
      <c r="I15" s="74"/>
    </row>
    <row r="16" spans="1:9" x14ac:dyDescent="0.25">
      <c r="B16" s="61" t="s">
        <v>156</v>
      </c>
      <c r="C16" s="61"/>
      <c r="D16" s="61"/>
      <c r="E16" s="75">
        <f>FIRR</f>
        <v>3.3646500506345767E-3</v>
      </c>
      <c r="F16" s="75"/>
      <c r="G16" s="75"/>
      <c r="H16" s="75"/>
      <c r="I16" s="75"/>
    </row>
    <row r="17" spans="2:9" x14ac:dyDescent="0.25">
      <c r="B17" s="77" t="s">
        <v>165</v>
      </c>
      <c r="C17" s="77"/>
      <c r="D17" s="77"/>
      <c r="E17" s="74">
        <f>+'FinInd+CO2'!E44</f>
        <v>-290.23069947660025</v>
      </c>
      <c r="F17" s="74"/>
      <c r="G17" s="74"/>
      <c r="H17" s="74"/>
      <c r="I17" s="74"/>
    </row>
    <row r="18" spans="2:9" x14ac:dyDescent="0.25">
      <c r="B18" s="77" t="s">
        <v>166</v>
      </c>
      <c r="C18" s="77"/>
      <c r="D18" s="77"/>
      <c r="E18" s="76">
        <f>+'FinInd+CO2'!E45</f>
        <v>6.5952621109513387E-2</v>
      </c>
      <c r="F18" s="63"/>
      <c r="G18" s="63"/>
      <c r="H18" s="63"/>
      <c r="I18" s="63"/>
    </row>
    <row r="20" spans="2:9" x14ac:dyDescent="0.25">
      <c r="B20" s="59" t="s">
        <v>143</v>
      </c>
      <c r="C20" s="59"/>
    </row>
    <row r="21" spans="2:9" x14ac:dyDescent="0.25">
      <c r="B21" s="59"/>
      <c r="C21" s="59"/>
    </row>
  </sheetData>
  <mergeCells count="23">
    <mergeCell ref="B13:D13"/>
    <mergeCell ref="A7:D8"/>
    <mergeCell ref="B9:D9"/>
    <mergeCell ref="B10:D10"/>
    <mergeCell ref="B11:D11"/>
    <mergeCell ref="B12:D12"/>
    <mergeCell ref="E18:I18"/>
    <mergeCell ref="B20:C21"/>
    <mergeCell ref="B14:D14"/>
    <mergeCell ref="B15:D15"/>
    <mergeCell ref="B16:D16"/>
    <mergeCell ref="B17:D17"/>
    <mergeCell ref="B18:D18"/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</mergeCells>
  <hyperlinks>
    <hyperlink ref="B20:C21" location="ESCOGrafFina!A5" display="NAZAD" xr:uid="{00000000-0004-0000-0D00-000000000000}"/>
  </hyperlink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3:AJ39"/>
  <sheetViews>
    <sheetView topLeftCell="F6" workbookViewId="0">
      <selection activeCell="W8" sqref="W8"/>
    </sheetView>
  </sheetViews>
  <sheetFormatPr defaultRowHeight="15" x14ac:dyDescent="0.25"/>
  <cols>
    <col min="2" max="2" width="36.42578125" customWidth="1"/>
    <col min="7" max="7" width="10.28515625" customWidth="1"/>
    <col min="13" max="13" width="10.140625" customWidth="1"/>
    <col min="19" max="19" width="10.5703125" customWidth="1"/>
    <col min="23" max="23" width="10.140625" bestFit="1" customWidth="1"/>
    <col min="29" max="29" width="4.42578125" customWidth="1"/>
  </cols>
  <sheetData>
    <row r="3" spans="1:36" ht="16.5" x14ac:dyDescent="0.35">
      <c r="C3" s="55" t="s">
        <v>163</v>
      </c>
      <c r="D3" s="55"/>
      <c r="E3" s="55"/>
      <c r="F3" s="55"/>
    </row>
    <row r="7" spans="1:36" ht="15" customHeight="1" x14ac:dyDescent="0.25">
      <c r="A7" s="20" t="s">
        <v>37</v>
      </c>
      <c r="B7" t="s">
        <v>38</v>
      </c>
      <c r="E7">
        <v>1</v>
      </c>
      <c r="G7" s="24" t="s">
        <v>11</v>
      </c>
      <c r="H7" t="s">
        <v>55</v>
      </c>
      <c r="M7" s="24" t="s">
        <v>3</v>
      </c>
      <c r="N7" t="s">
        <v>4</v>
      </c>
      <c r="S7" s="61" t="s">
        <v>76</v>
      </c>
      <c r="T7" s="61"/>
      <c r="U7" s="61"/>
      <c r="W7" s="24" t="s">
        <v>24</v>
      </c>
      <c r="X7" s="24"/>
      <c r="Y7" s="24" t="s">
        <v>25</v>
      </c>
      <c r="Z7" s="24"/>
      <c r="AA7" s="24" t="s">
        <v>26</v>
      </c>
      <c r="AB7" s="24"/>
      <c r="AC7" s="24"/>
      <c r="AD7" s="58" t="s">
        <v>83</v>
      </c>
      <c r="AE7" s="58"/>
      <c r="AF7" s="58"/>
      <c r="AG7" s="58"/>
    </row>
    <row r="8" spans="1:36" x14ac:dyDescent="0.25">
      <c r="B8" t="s">
        <v>39</v>
      </c>
      <c r="E8">
        <v>2</v>
      </c>
      <c r="H8" t="s">
        <v>56</v>
      </c>
      <c r="N8" t="s">
        <v>5</v>
      </c>
      <c r="S8" t="s">
        <v>24</v>
      </c>
      <c r="T8" s="9" t="s">
        <v>80</v>
      </c>
      <c r="W8" s="4">
        <f>IF(VARIJANTA="A",Ustede!P9,"")</f>
        <v>7</v>
      </c>
      <c r="X8" s="34" t="s">
        <v>87</v>
      </c>
      <c r="Y8" s="4" t="str">
        <f>IF(VARIJANTA="B",Ustede!P9,"")</f>
        <v/>
      </c>
      <c r="Z8" s="34" t="s">
        <v>87</v>
      </c>
      <c r="AA8" s="4" t="str">
        <f>IF(VARIJANTA="C",Ustede!P9,"")</f>
        <v/>
      </c>
      <c r="AB8" s="34" t="s">
        <v>87</v>
      </c>
      <c r="AC8" s="32"/>
      <c r="AD8" t="s">
        <v>85</v>
      </c>
    </row>
    <row r="9" spans="1:36" ht="17.25" x14ac:dyDescent="0.25">
      <c r="B9" t="s">
        <v>40</v>
      </c>
      <c r="E9">
        <v>3</v>
      </c>
      <c r="H9" t="s">
        <v>139</v>
      </c>
      <c r="N9" t="s">
        <v>6</v>
      </c>
      <c r="S9" t="s">
        <v>25</v>
      </c>
      <c r="T9" s="9" t="s">
        <v>81</v>
      </c>
      <c r="W9" s="35">
        <f>IF(VARIJANTA="A",Ustede!P10,"")</f>
        <v>32</v>
      </c>
      <c r="X9" s="33" t="s">
        <v>88</v>
      </c>
      <c r="Y9" s="35" t="str">
        <f>IF(VARIJANTA="B",Ustede!P10,"")</f>
        <v/>
      </c>
      <c r="Z9" s="34" t="s">
        <v>89</v>
      </c>
      <c r="AA9" t="str">
        <f>IF(VARIJANTA="C","","")</f>
        <v/>
      </c>
      <c r="AB9" s="33" t="s">
        <v>90</v>
      </c>
      <c r="AC9" s="32"/>
      <c r="AD9" t="s">
        <v>84</v>
      </c>
    </row>
    <row r="10" spans="1:36" ht="17.25" x14ac:dyDescent="0.25">
      <c r="B10" t="s">
        <v>41</v>
      </c>
      <c r="E10">
        <v>4</v>
      </c>
      <c r="H10" t="s">
        <v>39</v>
      </c>
      <c r="N10" t="s">
        <v>7</v>
      </c>
      <c r="S10" t="s">
        <v>26</v>
      </c>
      <c r="T10" s="9" t="s">
        <v>82</v>
      </c>
      <c r="W10" s="16">
        <f>IF(VARIJANTA="A",Ustede!P11,"")</f>
        <v>2387</v>
      </c>
      <c r="X10" s="33" t="s">
        <v>91</v>
      </c>
      <c r="Y10" t="str">
        <f>IF(VARIJANTA="B",Ustede!P11,"")</f>
        <v/>
      </c>
      <c r="Z10" s="33" t="s">
        <v>91</v>
      </c>
      <c r="AA10" t="str">
        <f>IF(VARIJANTA="C",Ustede!P11,"")</f>
        <v/>
      </c>
      <c r="AB10" s="33" t="s">
        <v>91</v>
      </c>
      <c r="AC10" s="32"/>
      <c r="AD10" t="s">
        <v>86</v>
      </c>
    </row>
    <row r="11" spans="1:36" ht="17.25" x14ac:dyDescent="0.25">
      <c r="B11" t="s">
        <v>42</v>
      </c>
      <c r="E11">
        <v>5</v>
      </c>
      <c r="H11" t="s">
        <v>140</v>
      </c>
      <c r="N11" t="s">
        <v>8</v>
      </c>
      <c r="W11">
        <f>IF(VARIJANTA="A",Ustede!P12,"")</f>
        <v>140.24</v>
      </c>
      <c r="X11" s="33" t="s">
        <v>29</v>
      </c>
      <c r="Y11" t="str">
        <f>IF(VARIJANTA="B",Ustede!P12,"")</f>
        <v/>
      </c>
      <c r="Z11" s="33" t="s">
        <v>29</v>
      </c>
      <c r="AA11" t="str">
        <f>IF(VARIJANTA="C",Ustede!P12,"")</f>
        <v/>
      </c>
      <c r="AB11" s="33" t="s">
        <v>29</v>
      </c>
      <c r="AC11" s="32"/>
      <c r="AD11" t="s">
        <v>93</v>
      </c>
      <c r="AH11" s="6" t="s">
        <v>98</v>
      </c>
      <c r="AI11" s="6"/>
      <c r="AJ11" s="6"/>
    </row>
    <row r="12" spans="1:36" ht="17.25" x14ac:dyDescent="0.25">
      <c r="B12" t="s">
        <v>43</v>
      </c>
      <c r="E12">
        <v>6</v>
      </c>
      <c r="H12" t="s">
        <v>141</v>
      </c>
      <c r="N12" t="s">
        <v>9</v>
      </c>
      <c r="W12" s="4">
        <f>IF(VARIJANTA="A",Ustede!P13,"")</f>
        <v>115.37579506481353</v>
      </c>
      <c r="X12" s="33" t="s">
        <v>29</v>
      </c>
      <c r="Y12" s="4" t="str">
        <f>IF(VARIJANTA="B",Ustede!P13,"")</f>
        <v/>
      </c>
      <c r="Z12" s="33" t="s">
        <v>29</v>
      </c>
      <c r="AA12" s="4" t="str">
        <f>IF(VARIJANTA="C",Ustede!P13,"")</f>
        <v/>
      </c>
      <c r="AB12" s="33" t="s">
        <v>29</v>
      </c>
      <c r="AC12" s="32"/>
      <c r="AD12" t="s">
        <v>92</v>
      </c>
      <c r="AH12" s="6" t="s">
        <v>98</v>
      </c>
      <c r="AI12" s="6"/>
      <c r="AJ12" s="6"/>
    </row>
    <row r="13" spans="1:36" ht="17.25" x14ac:dyDescent="0.25">
      <c r="B13" t="s">
        <v>44</v>
      </c>
      <c r="E13">
        <v>7</v>
      </c>
      <c r="H13" t="s">
        <v>142</v>
      </c>
      <c r="W13">
        <f>IF(VARIJANTA="A",Ustede!P14,"")</f>
        <v>24</v>
      </c>
      <c r="X13" s="33" t="s">
        <v>102</v>
      </c>
      <c r="Y13" t="str">
        <f>IF(VARIJANTA="B",Ustede!P14,"")</f>
        <v/>
      </c>
      <c r="Z13" s="33" t="s">
        <v>102</v>
      </c>
      <c r="AA13" t="str">
        <f>IF(VARIJANTA="C",Ustede!P14,"")</f>
        <v/>
      </c>
      <c r="AB13" s="33" t="s">
        <v>102</v>
      </c>
      <c r="AC13" s="32"/>
      <c r="AD13" t="s">
        <v>94</v>
      </c>
      <c r="AH13" s="6" t="s">
        <v>99</v>
      </c>
      <c r="AI13" s="6"/>
      <c r="AJ13" s="6"/>
    </row>
    <row r="14" spans="1:36" ht="17.25" x14ac:dyDescent="0.25">
      <c r="B14" t="s">
        <v>45</v>
      </c>
      <c r="E14">
        <v>8</v>
      </c>
      <c r="W14">
        <f>IF(VARIJANTA="A",Ustede!P15,"")</f>
        <v>20</v>
      </c>
      <c r="X14" s="33" t="s">
        <v>102</v>
      </c>
      <c r="Y14" t="str">
        <f>IF(VARIJANTA="B",Ustede!P15,"")</f>
        <v/>
      </c>
      <c r="Z14" s="33" t="s">
        <v>102</v>
      </c>
      <c r="AA14" t="str">
        <f>IF(VARIJANTA="C",Ustede!P15,"")</f>
        <v/>
      </c>
      <c r="AB14" s="33" t="s">
        <v>102</v>
      </c>
      <c r="AC14" s="32"/>
      <c r="AD14" t="s">
        <v>95</v>
      </c>
      <c r="AH14" s="6" t="s">
        <v>100</v>
      </c>
      <c r="AI14" s="6"/>
      <c r="AJ14" s="6"/>
    </row>
    <row r="15" spans="1:36" ht="17.25" x14ac:dyDescent="0.25">
      <c r="B15" t="s">
        <v>46</v>
      </c>
      <c r="E15">
        <v>9</v>
      </c>
      <c r="G15" s="15"/>
      <c r="M15" s="24" t="s">
        <v>10</v>
      </c>
      <c r="N15" t="s">
        <v>57</v>
      </c>
      <c r="W15">
        <f>IF(VARIJANTA="A",Ustede!P16,"")</f>
        <v>20</v>
      </c>
      <c r="X15" s="33" t="s">
        <v>102</v>
      </c>
      <c r="Y15" t="str">
        <f>IF(VARIJANTA="B",Ustede!P16,"")</f>
        <v/>
      </c>
      <c r="Z15" s="33" t="s">
        <v>102</v>
      </c>
      <c r="AA15" t="str">
        <f>IF(VARIJANTA="C",Ustede!P16,"")</f>
        <v/>
      </c>
      <c r="AB15" s="33" t="s">
        <v>102</v>
      </c>
      <c r="AC15" s="32"/>
      <c r="AD15" t="s">
        <v>96</v>
      </c>
      <c r="AH15" s="6" t="s">
        <v>101</v>
      </c>
      <c r="AI15" s="6"/>
      <c r="AJ15" s="6"/>
    </row>
    <row r="16" spans="1:36" ht="17.25" x14ac:dyDescent="0.25">
      <c r="B16" t="s">
        <v>47</v>
      </c>
      <c r="E16">
        <v>10</v>
      </c>
      <c r="G16" s="15"/>
      <c r="N16" t="s">
        <v>58</v>
      </c>
      <c r="W16">
        <f>IF(VARIJANTA="A",Ustede!P17,"")</f>
        <v>-12</v>
      </c>
      <c r="X16" s="33" t="s">
        <v>102</v>
      </c>
      <c r="Y16" t="str">
        <f>IF(VARIJANTA="B",Ustede!P17,"")</f>
        <v/>
      </c>
      <c r="Z16" s="33" t="s">
        <v>102</v>
      </c>
      <c r="AA16" t="str">
        <f>IF(VARIJANTA="C",Ustede!P17,"")</f>
        <v/>
      </c>
      <c r="AB16" s="33" t="s">
        <v>102</v>
      </c>
      <c r="AC16" s="32"/>
      <c r="AD16" t="s">
        <v>97</v>
      </c>
      <c r="AH16" s="6" t="s">
        <v>101</v>
      </c>
      <c r="AI16" s="6"/>
      <c r="AJ16" s="6"/>
    </row>
    <row r="17" spans="2:30" ht="17.25" x14ac:dyDescent="0.25">
      <c r="B17" t="s">
        <v>48</v>
      </c>
      <c r="E17">
        <v>11</v>
      </c>
      <c r="N17" t="s">
        <v>59</v>
      </c>
      <c r="W17" s="36">
        <f>W11-W12</f>
        <v>24.864204935186478</v>
      </c>
      <c r="X17" s="33" t="s">
        <v>29</v>
      </c>
      <c r="Y17" s="36" t="e">
        <f>Y11-Y12</f>
        <v>#VALUE!</v>
      </c>
      <c r="Z17" s="33" t="s">
        <v>29</v>
      </c>
      <c r="AA17" s="36" t="e">
        <f>AA11-AA12</f>
        <v>#VALUE!</v>
      </c>
      <c r="AB17" s="33" t="s">
        <v>29</v>
      </c>
      <c r="AC17" s="32"/>
      <c r="AD17" t="s">
        <v>103</v>
      </c>
    </row>
    <row r="18" spans="2:30" x14ac:dyDescent="0.25">
      <c r="B18" t="s">
        <v>49</v>
      </c>
      <c r="E18">
        <v>12</v>
      </c>
      <c r="N18" t="s">
        <v>60</v>
      </c>
      <c r="W18" s="36">
        <f>W10*W17/1000</f>
        <v>59.35085718029012</v>
      </c>
      <c r="X18" s="33" t="s">
        <v>30</v>
      </c>
      <c r="Y18" s="36" t="e">
        <f>Y10*Y17/1000</f>
        <v>#VALUE!</v>
      </c>
      <c r="Z18" s="33" t="s">
        <v>30</v>
      </c>
      <c r="AA18" s="36" t="e">
        <f>AA10*AA17/1000</f>
        <v>#VALUE!</v>
      </c>
      <c r="AB18" s="33" t="s">
        <v>30</v>
      </c>
      <c r="AC18" s="32"/>
      <c r="AD18" t="s">
        <v>103</v>
      </c>
    </row>
    <row r="19" spans="2:30" ht="18" x14ac:dyDescent="0.35">
      <c r="B19" t="s">
        <v>50</v>
      </c>
      <c r="E19">
        <v>13</v>
      </c>
      <c r="N19" t="s">
        <v>61</v>
      </c>
      <c r="W19" s="36">
        <f>W8*W18*1000/Kurs_EUR</f>
        <v>3542.1867562072071</v>
      </c>
      <c r="X19" s="33" t="s">
        <v>31</v>
      </c>
      <c r="Y19" s="36" t="e">
        <f>Y8*Y18*1000/Kurs_EUR</f>
        <v>#VALUE!</v>
      </c>
      <c r="Z19" s="33" t="s">
        <v>31</v>
      </c>
      <c r="AA19" s="36" t="e">
        <f>AA8*AA18*1000/Kurs_EUR</f>
        <v>#VALUE!</v>
      </c>
      <c r="AB19" s="33" t="s">
        <v>31</v>
      </c>
      <c r="AC19" s="32"/>
      <c r="AD19" t="s">
        <v>104</v>
      </c>
    </row>
    <row r="20" spans="2:30" x14ac:dyDescent="0.25">
      <c r="B20" t="s">
        <v>51</v>
      </c>
      <c r="E20">
        <v>14</v>
      </c>
    </row>
    <row r="21" spans="2:30" ht="18" x14ac:dyDescent="0.35">
      <c r="B21" t="s">
        <v>52</v>
      </c>
      <c r="E21">
        <v>15</v>
      </c>
      <c r="H21" s="61" t="s">
        <v>158</v>
      </c>
      <c r="I21" s="61"/>
      <c r="J21" s="61"/>
      <c r="M21" s="24" t="s">
        <v>12</v>
      </c>
      <c r="N21" t="s">
        <v>62</v>
      </c>
    </row>
    <row r="22" spans="2:30" x14ac:dyDescent="0.25">
      <c r="B22" t="s">
        <v>53</v>
      </c>
      <c r="E22">
        <v>16</v>
      </c>
      <c r="I22" t="s">
        <v>159</v>
      </c>
      <c r="K22" s="4">
        <f>+UnosPodataka!F18</f>
        <v>8500</v>
      </c>
      <c r="L22" s="23">
        <v>0</v>
      </c>
      <c r="N22" t="s">
        <v>63</v>
      </c>
    </row>
    <row r="23" spans="2:30" x14ac:dyDescent="0.25">
      <c r="B23" t="s">
        <v>54</v>
      </c>
      <c r="E23">
        <v>17</v>
      </c>
      <c r="I23" t="s">
        <v>160</v>
      </c>
      <c r="K23" s="4">
        <f>+LOAN</f>
        <v>11500</v>
      </c>
      <c r="L23" s="23">
        <f>+UnosPodataka!M16</f>
        <v>0.12</v>
      </c>
      <c r="N23" t="s">
        <v>64</v>
      </c>
    </row>
    <row r="24" spans="2:30" x14ac:dyDescent="0.25">
      <c r="B24" t="s">
        <v>12</v>
      </c>
      <c r="I24" t="s">
        <v>161</v>
      </c>
      <c r="K24" s="4">
        <f>+EQUITY</f>
        <v>2000</v>
      </c>
      <c r="L24" s="10">
        <f>+UnosPodataka!M17</f>
        <v>5.8299999999999998E-2</v>
      </c>
      <c r="N24" t="s">
        <v>65</v>
      </c>
    </row>
    <row r="25" spans="2:30" x14ac:dyDescent="0.25">
      <c r="B25" s="19">
        <f>VLOOKUP(Pocetna!M12,B7:E23,4,FALSE)</f>
        <v>2</v>
      </c>
      <c r="J25" t="s">
        <v>162</v>
      </c>
      <c r="K25" s="4">
        <f>SUM(K22:K24)</f>
        <v>22000</v>
      </c>
      <c r="L25" s="10">
        <f>+(K22*L22+K23*L23+K24*L24)/K25</f>
        <v>6.8027272727272728E-2</v>
      </c>
      <c r="N25" t="s">
        <v>66</v>
      </c>
    </row>
    <row r="26" spans="2:30" x14ac:dyDescent="0.25">
      <c r="B26" s="14"/>
      <c r="N26" t="s">
        <v>157</v>
      </c>
    </row>
    <row r="27" spans="2:30" x14ac:dyDescent="0.25">
      <c r="N27" t="s">
        <v>67</v>
      </c>
    </row>
    <row r="28" spans="2:30" x14ac:dyDescent="0.25">
      <c r="B28" s="29"/>
      <c r="M28" s="24" t="s">
        <v>13</v>
      </c>
    </row>
    <row r="29" spans="2:30" x14ac:dyDescent="0.25">
      <c r="N29" t="s">
        <v>14</v>
      </c>
      <c r="P29" s="4">
        <v>0.2</v>
      </c>
    </row>
    <row r="30" spans="2:30" x14ac:dyDescent="0.25">
      <c r="N30" t="s">
        <v>15</v>
      </c>
      <c r="P30" s="4">
        <v>0.22</v>
      </c>
    </row>
    <row r="31" spans="2:30" x14ac:dyDescent="0.25">
      <c r="N31" t="s">
        <v>16</v>
      </c>
      <c r="P31" s="4">
        <v>0.27</v>
      </c>
    </row>
    <row r="32" spans="2:30" x14ac:dyDescent="0.25">
      <c r="N32" t="s">
        <v>17</v>
      </c>
      <c r="P32" s="4">
        <v>0.28000000000000003</v>
      </c>
    </row>
    <row r="33" spans="14:16" x14ac:dyDescent="0.25">
      <c r="N33" t="s">
        <v>18</v>
      </c>
      <c r="P33" s="4">
        <v>0.8</v>
      </c>
    </row>
    <row r="34" spans="14:16" x14ac:dyDescent="0.25">
      <c r="N34" t="s">
        <v>19</v>
      </c>
      <c r="P34" s="4">
        <v>0.49399999999999999</v>
      </c>
    </row>
    <row r="35" spans="14:16" x14ac:dyDescent="0.25">
      <c r="N35" t="s">
        <v>167</v>
      </c>
      <c r="P35" s="4">
        <v>0.22</v>
      </c>
    </row>
    <row r="36" spans="14:16" x14ac:dyDescent="0.25">
      <c r="N36" t="s">
        <v>20</v>
      </c>
      <c r="P36" s="4">
        <v>0.4</v>
      </c>
    </row>
    <row r="37" spans="14:16" x14ac:dyDescent="0.25">
      <c r="N37" t="s">
        <v>21</v>
      </c>
      <c r="P37" s="4">
        <v>0.33</v>
      </c>
    </row>
    <row r="38" spans="14:16" x14ac:dyDescent="0.25">
      <c r="N38" t="s">
        <v>22</v>
      </c>
      <c r="P38" s="4">
        <v>0</v>
      </c>
    </row>
    <row r="39" spans="14:16" x14ac:dyDescent="0.25">
      <c r="N39" t="s">
        <v>145</v>
      </c>
      <c r="P39" s="35" t="str">
        <f>[1]KonvFaktor!$E$16</f>
        <v/>
      </c>
    </row>
  </sheetData>
  <sheetProtection selectLockedCells="1"/>
  <mergeCells count="4">
    <mergeCell ref="S7:U7"/>
    <mergeCell ref="AD7:AG7"/>
    <mergeCell ref="H21:J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3:P31"/>
  <sheetViews>
    <sheetView topLeftCell="B1" workbookViewId="0">
      <selection activeCell="H21" sqref="H21:H22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55" t="s">
        <v>163</v>
      </c>
      <c r="G3" s="55"/>
      <c r="H3" s="55"/>
      <c r="I3" s="55"/>
    </row>
    <row r="7" spans="2:16" x14ac:dyDescent="0.25">
      <c r="B7" s="65" t="s">
        <v>68</v>
      </c>
      <c r="C7" s="65"/>
      <c r="D7" s="65"/>
      <c r="E7" s="65"/>
      <c r="F7" s="2" t="s">
        <v>1</v>
      </c>
      <c r="I7" s="64" t="s">
        <v>68</v>
      </c>
      <c r="J7" s="64"/>
      <c r="K7" s="64"/>
      <c r="L7" s="64"/>
      <c r="M7" s="3" t="s">
        <v>23</v>
      </c>
    </row>
    <row r="8" spans="2:16" x14ac:dyDescent="0.25">
      <c r="O8" s="59" t="s">
        <v>143</v>
      </c>
      <c r="P8" s="59"/>
    </row>
    <row r="9" spans="2:16" x14ac:dyDescent="0.25">
      <c r="B9" s="62" t="s">
        <v>55</v>
      </c>
      <c r="C9" s="62"/>
      <c r="D9" s="62"/>
      <c r="E9" s="62"/>
      <c r="F9" s="11">
        <v>2000</v>
      </c>
      <c r="I9" s="62" t="s">
        <v>57</v>
      </c>
      <c r="J9" s="62"/>
      <c r="K9" s="62"/>
      <c r="L9" s="62"/>
      <c r="M9" s="11">
        <v>100</v>
      </c>
      <c r="O9" s="59"/>
      <c r="P9" s="59"/>
    </row>
    <row r="10" spans="2:16" x14ac:dyDescent="0.25">
      <c r="B10" s="62" t="s">
        <v>56</v>
      </c>
      <c r="C10" s="62"/>
      <c r="D10" s="62"/>
      <c r="E10" s="62"/>
      <c r="F10" s="11">
        <v>1000</v>
      </c>
      <c r="I10" s="62" t="s">
        <v>58</v>
      </c>
      <c r="J10" s="62"/>
      <c r="K10" s="62"/>
      <c r="L10" s="62"/>
      <c r="M10" s="26">
        <v>0.9</v>
      </c>
    </row>
    <row r="11" spans="2:16" x14ac:dyDescent="0.25">
      <c r="B11" s="62" t="s">
        <v>139</v>
      </c>
      <c r="C11" s="62"/>
      <c r="D11" s="62"/>
      <c r="E11" s="62"/>
      <c r="F11" s="11">
        <v>10000</v>
      </c>
      <c r="I11" s="62" t="s">
        <v>59</v>
      </c>
      <c r="J11" s="62"/>
      <c r="K11" s="62"/>
      <c r="L11" s="62"/>
      <c r="M11" s="10">
        <v>0</v>
      </c>
      <c r="O11" s="60" t="s">
        <v>144</v>
      </c>
      <c r="P11" s="60"/>
    </row>
    <row r="12" spans="2:16" x14ac:dyDescent="0.25">
      <c r="B12" s="62" t="s">
        <v>39</v>
      </c>
      <c r="C12" s="62"/>
      <c r="D12" s="62"/>
      <c r="E12" s="62"/>
      <c r="F12" s="11">
        <v>2500</v>
      </c>
      <c r="I12" s="62" t="s">
        <v>60</v>
      </c>
      <c r="J12" s="62"/>
      <c r="K12" s="62"/>
      <c r="L12" s="62"/>
      <c r="M12" s="26">
        <v>0.1</v>
      </c>
      <c r="O12" s="60"/>
      <c r="P12" s="60"/>
    </row>
    <row r="13" spans="2:16" x14ac:dyDescent="0.25">
      <c r="B13" s="62" t="s">
        <v>140</v>
      </c>
      <c r="C13" s="62"/>
      <c r="D13" s="62"/>
      <c r="E13" s="62"/>
      <c r="F13" s="11">
        <v>3000</v>
      </c>
      <c r="I13" s="62" t="s">
        <v>72</v>
      </c>
      <c r="J13" s="62"/>
      <c r="K13" s="62"/>
      <c r="L13" s="62"/>
      <c r="M13" s="27">
        <v>97.44</v>
      </c>
    </row>
    <row r="14" spans="2:16" x14ac:dyDescent="0.25">
      <c r="B14" s="62" t="s">
        <v>141</v>
      </c>
      <c r="C14" s="62"/>
      <c r="D14" s="62"/>
      <c r="E14" s="62"/>
      <c r="F14" s="11">
        <v>1500</v>
      </c>
      <c r="I14" s="63"/>
      <c r="J14" s="63"/>
      <c r="K14" s="63"/>
      <c r="L14" s="63"/>
      <c r="M14" s="10"/>
    </row>
    <row r="15" spans="2:16" x14ac:dyDescent="0.25">
      <c r="B15" s="62" t="s">
        <v>142</v>
      </c>
      <c r="C15" s="62"/>
      <c r="D15" s="62"/>
      <c r="E15" s="62"/>
      <c r="F15" s="11">
        <v>2000</v>
      </c>
      <c r="I15" s="62" t="s">
        <v>65</v>
      </c>
      <c r="J15" s="62"/>
      <c r="K15" s="62"/>
      <c r="L15" s="62"/>
      <c r="M15" s="26">
        <v>0.06</v>
      </c>
    </row>
    <row r="16" spans="2:16" x14ac:dyDescent="0.25">
      <c r="B16" s="12"/>
      <c r="C16" s="12"/>
      <c r="D16" s="12"/>
      <c r="E16" s="25" t="s">
        <v>69</v>
      </c>
      <c r="F16" s="4">
        <f>SUM(F9:F15)</f>
        <v>22000</v>
      </c>
      <c r="I16" s="62" t="s">
        <v>66</v>
      </c>
      <c r="J16" s="62"/>
      <c r="K16" s="62"/>
      <c r="L16" s="62"/>
      <c r="M16" s="10">
        <v>0.12</v>
      </c>
    </row>
    <row r="17" spans="2:14" x14ac:dyDescent="0.25">
      <c r="I17" s="62" t="s">
        <v>157</v>
      </c>
      <c r="J17" s="62"/>
      <c r="K17" s="62"/>
      <c r="L17" s="62"/>
      <c r="M17" s="10">
        <v>5.8299999999999998E-2</v>
      </c>
    </row>
    <row r="18" spans="2:14" x14ac:dyDescent="0.25">
      <c r="B18" s="62" t="s">
        <v>6</v>
      </c>
      <c r="C18" s="62"/>
      <c r="D18" s="62"/>
      <c r="E18" s="62"/>
      <c r="F18" s="11">
        <v>8500</v>
      </c>
      <c r="I18" s="62" t="s">
        <v>63</v>
      </c>
      <c r="J18" s="62"/>
      <c r="K18" s="62"/>
      <c r="L18" s="62"/>
      <c r="M18" s="28">
        <v>12</v>
      </c>
    </row>
    <row r="19" spans="2:14" x14ac:dyDescent="0.25">
      <c r="B19" s="62"/>
      <c r="C19" s="62"/>
      <c r="D19" s="62"/>
      <c r="E19" s="62"/>
      <c r="F19" s="11"/>
      <c r="I19" s="62" t="s">
        <v>67</v>
      </c>
      <c r="J19" s="62"/>
      <c r="K19" s="62"/>
      <c r="L19" s="62"/>
      <c r="M19" s="11" t="s">
        <v>167</v>
      </c>
    </row>
    <row r="20" spans="2:14" x14ac:dyDescent="0.25">
      <c r="B20" s="62"/>
      <c r="C20" s="62"/>
      <c r="D20" s="62"/>
      <c r="E20" s="62"/>
      <c r="F20" s="11"/>
      <c r="I20" s="62" t="s">
        <v>73</v>
      </c>
      <c r="J20" s="62"/>
      <c r="K20" s="62"/>
      <c r="L20" s="62"/>
      <c r="M20" s="4">
        <f>VLOOKUP(M19,PomTab1!N29:P39,3,FALSE)</f>
        <v>0.22</v>
      </c>
    </row>
    <row r="21" spans="2:14" x14ac:dyDescent="0.25">
      <c r="B21" s="62"/>
      <c r="C21" s="62"/>
      <c r="D21" s="62"/>
      <c r="E21" s="62"/>
      <c r="F21" s="11"/>
      <c r="I21" s="62" t="s">
        <v>64</v>
      </c>
      <c r="J21" s="62"/>
      <c r="K21" s="62"/>
      <c r="L21" s="62"/>
      <c r="M21" s="13">
        <v>15</v>
      </c>
    </row>
    <row r="22" spans="2:14" x14ac:dyDescent="0.25">
      <c r="B22" s="62"/>
      <c r="C22" s="62"/>
      <c r="D22" s="62"/>
      <c r="E22" s="62"/>
      <c r="F22" s="4"/>
      <c r="N22" s="34"/>
    </row>
    <row r="23" spans="2:14" x14ac:dyDescent="0.25">
      <c r="B23" s="62" t="s">
        <v>9</v>
      </c>
      <c r="C23" s="62"/>
      <c r="D23" s="62"/>
      <c r="E23" s="62"/>
      <c r="F23" s="11">
        <v>2000</v>
      </c>
      <c r="M23" s="16"/>
      <c r="N23" s="34"/>
    </row>
    <row r="24" spans="2:14" x14ac:dyDescent="0.25">
      <c r="E24" s="7" t="s">
        <v>70</v>
      </c>
      <c r="F24" s="4">
        <f>SUM(F18:F23)</f>
        <v>10500</v>
      </c>
      <c r="M24" s="4"/>
      <c r="N24" s="33"/>
    </row>
    <row r="25" spans="2:14" x14ac:dyDescent="0.25">
      <c r="F25" s="4"/>
      <c r="M25" s="16"/>
      <c r="N25" s="33"/>
    </row>
    <row r="26" spans="2:14" x14ac:dyDescent="0.25">
      <c r="E26" s="6" t="s">
        <v>71</v>
      </c>
      <c r="F26" s="4">
        <f>F16-F24</f>
        <v>11500</v>
      </c>
      <c r="N26" s="33"/>
    </row>
    <row r="27" spans="2:14" x14ac:dyDescent="0.25">
      <c r="N27" s="33"/>
    </row>
    <row r="28" spans="2:14" x14ac:dyDescent="0.25">
      <c r="H28" s="52"/>
      <c r="N28" s="33"/>
    </row>
    <row r="29" spans="2:14" x14ac:dyDescent="0.25">
      <c r="N29" s="33"/>
    </row>
    <row r="30" spans="2:14" x14ac:dyDescent="0.25">
      <c r="N30" s="33"/>
    </row>
    <row r="31" spans="2:14" x14ac:dyDescent="0.25">
      <c r="N31" s="33"/>
    </row>
  </sheetData>
  <sheetProtection selectLockedCells="1"/>
  <mergeCells count="31">
    <mergeCell ref="O8:P9"/>
    <mergeCell ref="O11:P12"/>
    <mergeCell ref="B22:E22"/>
    <mergeCell ref="B23:E23"/>
    <mergeCell ref="I7:L7"/>
    <mergeCell ref="B18:E18"/>
    <mergeCell ref="B19:E19"/>
    <mergeCell ref="B20:E20"/>
    <mergeCell ref="B21:E21"/>
    <mergeCell ref="B12:E12"/>
    <mergeCell ref="B13:E13"/>
    <mergeCell ref="B14:E14"/>
    <mergeCell ref="B15:E15"/>
    <mergeCell ref="B7:E7"/>
    <mergeCell ref="B9:E9"/>
    <mergeCell ref="B10:E10"/>
    <mergeCell ref="B11:E11"/>
    <mergeCell ref="I9:L9"/>
    <mergeCell ref="I10:L10"/>
    <mergeCell ref="I11:L11"/>
    <mergeCell ref="I12:L12"/>
    <mergeCell ref="F3:I3"/>
    <mergeCell ref="I19:L19"/>
    <mergeCell ref="I20:L20"/>
    <mergeCell ref="I21:L21"/>
    <mergeCell ref="I13:L13"/>
    <mergeCell ref="I15:L15"/>
    <mergeCell ref="I14:L14"/>
    <mergeCell ref="I16:L16"/>
    <mergeCell ref="I18:L18"/>
    <mergeCell ref="I17:L17"/>
  </mergeCells>
  <dataValidations count="19">
    <dataValidation type="whole" allowBlank="1" showInputMessage="1" showErrorMessage="1" errorTitle="Restriction" error="Ne može biti više od 100.000 EUR" promptTitle="Project planning" prompt="Unesi troškove planiranja projekta" sqref="F9" xr:uid="{00000000-0002-0000-0200-000000000000}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 xr:uid="{00000000-0002-0000-0200-000001000000}">
      <formula1>0</formula1>
      <formula2>100000</formula2>
    </dataValidation>
    <dataValidation type="whole" allowBlank="1" showInputMessage="1" showErrorMessage="1" errorTitle="Restriction" error="Ne može biti više od 300.000 EUR" promptTitle="TSRepl" prompt="Uneti troškove ugradnje" sqref="F12" xr:uid="{00000000-0002-0000-0200-000002000000}">
      <formula1>0</formula1>
      <formula2>300000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18:F22" xr:uid="{00000000-0002-0000-0200-000003000000}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 xr:uid="{00000000-0002-0000-0200-000004000000}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 xr:uid="{00000000-0002-0000-0200-000005000000}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 xr:uid="{00000000-0002-0000-0200-000006000000}">
      <formula1>0</formula1>
      <formula2>0.1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18" xr:uid="{00000000-0002-0000-0200-00000B000000}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za ostalo" sqref="M21" xr:uid="{00000000-0002-0000-0200-00000C000000}">
      <formula1>0</formula1>
      <formula2>20</formula2>
    </dataValidation>
    <dataValidation type="whole" allowBlank="1" showInputMessage="1" showErrorMessage="1" errorTitle="Restriction" error="Maksimalni iznos do 100.000 EUR" promptTitle="EQUITY" prompt="Učešće sopstvenog kapitala u finansiranju mere" sqref="F23" xr:uid="{00000000-0002-0000-0200-00000D000000}">
      <formula1>0</formula1>
      <formula2>100000</formula2>
    </dataValidation>
    <dataValidation type="whole" allowBlank="1" showInputMessage="1" showErrorMessage="1" errorTitle="Restriction" error="Ne može biti više od 300.000 EUR" promptTitle="TSPro" prompt="Uneti investiconu vrednost nabavke" sqref="F11" xr:uid="{00000000-0002-0000-0200-00000E000000}">
      <formula1>0</formula1>
      <formula2>300000</formula2>
    </dataValidation>
    <dataValidation type="whole" allowBlank="1" showInputMessage="1" showErrorMessage="1" errorTitle="Restriction" error="Ne može biti više od 300.000 EUR" promptTitle="HMPro" prompt="Uneti troškove ugradnje" sqref="F13" xr:uid="{00000000-0002-0000-0200-00000F000000}">
      <formula1>0</formula1>
      <formula2>300000</formula2>
    </dataValidation>
    <dataValidation type="whole" allowBlank="1" showInputMessage="1" showErrorMessage="1" errorTitle="Restriction" error="Ne može biti više od 300.000 EUR" promptTitle="HMRepl" prompt="Uneti troškove ugradnje" sqref="F14" xr:uid="{00000000-0002-0000-0200-000010000000}">
      <formula1>0</formula1>
      <formula2>300000</formula2>
    </dataValidation>
    <dataValidation type="whole" allowBlank="1" showInputMessage="1" showErrorMessage="1" errorTitle="Restriction" error="Ne može biti više od 300.000 EUR" promptTitle="Balans" prompt="Uneti troškove balansiranja i postavljanja radnih parametara" sqref="F15" xr:uid="{00000000-0002-0000-0200-000011000000}">
      <formula1>0</formula1>
      <formula2>300000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 xr:uid="{F75635AA-6106-4781-AAA8-2E328BA35BA6}"/>
    <dataValidation allowBlank="1" showInputMessage="1" showErrorMessage="1" errorTitle="Restriction" error="Iznos ne može biti veći od 7%" promptTitle="DA" prompt="Troškovi amortizacije prema računovodstvenim standardima - za toplinske pumpe ta stopa je 10%." sqref="M12" xr:uid="{FF44E3D7-E307-4271-8FAC-268C1F61BE93}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17" xr:uid="{7257AD19-B8DB-414C-AFD9-14F760F1A74A}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6" xr:uid="{DA483725-01E8-4271-A8BA-E7F643638081}"/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5" xr:uid="{85B18A60-21D3-4CCD-A12D-724B75904A0C}">
      <formula1>0</formula1>
      <formula2>0.1</formula2>
    </dataValidation>
  </dataValidations>
  <hyperlinks>
    <hyperlink ref="O8:P9" location="Pocetna!M9" display="NAZAD" xr:uid="{00000000-0004-0000-0200-000000000000}"/>
    <hyperlink ref="O11:P12" location="Ustede!B2" display="DALJE" xr:uid="{00000000-0004-0000-0200-000001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Moguće je uneti samo ponuđene opcije" promptTitle="Costs" prompt="Unesi troškove projekta" xr:uid="{00000000-0002-0000-0200-000012000000}">
          <x14:formula1>
            <xm:f>PomTab1!$H$7:$H$14</xm:f>
          </x14:formula1>
          <xm:sqref>B9:E15</xm:sqref>
        </x14:dataValidation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 xr:uid="{00000000-0002-0000-0200-000013000000}">
          <x14:formula1>
            <xm:f>PomTab1!$N$7:$N$13</xm:f>
          </x14:formula1>
          <xm:sqref>B18:E23</xm:sqref>
        </x14:dataValidation>
        <x14:dataValidation type="list" allowBlank="1" showInputMessage="1" showErrorMessage="1" errorTitle="Restriction" error="Samo stavke ponuđene u listi" promptTitle="CO2 Tax" prompt="Iznos karbon takse" xr:uid="{00000000-0002-0000-0200-000014000000}">
          <x14:formula1>
            <xm:f>PomTab1!$N$15:$N$20</xm:f>
          </x14:formula1>
          <xm:sqref>I13:L13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 xr:uid="{00000000-0002-0000-0200-000015000000}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 xr:uid="{00000000-0002-0000-0200-000016000000}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 xr:uid="{00000000-0002-0000-0200-000017000000}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 xr:uid="{00000000-0002-0000-0200-000018000000}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 xr:uid="{00000000-0002-0000-0200-00001E000000}">
          <x14:formula1>
            <xm:f>PomTab1!$N$29:$N$39</xm:f>
          </x14:formula1>
          <xm:sqref>M19</xm:sqref>
        </x14:dataValidation>
        <x14:dataValidation type="list" allowBlank="1" showInputMessage="1" showErrorMessage="1" errorTitle="Restriction" error="Može se izabrati samo ponuđena opcija." promptTitle="Time frame" prompt="Ne popunjavati" xr:uid="{00000000-0002-0000-0200-000019000000}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Interest rate" prompt="Kamatna stopa" xr:uid="{00000000-0002-0000-0200-00001A000000}">
          <x14:formula1>
            <xm:f>PomTab1!$N$21:$N$27</xm:f>
          </x14:formula1>
          <xm:sqref>I16:I17 J16:L16</xm:sqref>
        </x14:dataValidation>
        <x14:dataValidation type="list" allowBlank="1" showInputMessage="1" showErrorMessage="1" errorTitle="Restriction" error="Može se izabrati samo ponuđena opcija." promptTitle="Discount rate" prompt="Diskontna stopa" xr:uid="{00000000-0002-0000-0200-00001B000000}">
          <x14:formula1>
            <xm:f>PomTab1!$N$21:$N$27</xm:f>
          </x14:formula1>
          <xm:sqref>I15:L15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 xr:uid="{00000000-0002-0000-0200-00001C000000}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 xr:uid="{00000000-0002-0000-0200-00001D000000}">
          <x14:formula1>
            <xm:f>PomTab1!$N$21:$N$27</xm:f>
          </x14:formula1>
          <xm:sqref>I19:L20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B3:U18"/>
  <sheetViews>
    <sheetView workbookViewId="0">
      <selection activeCell="P12" sqref="P12"/>
    </sheetView>
  </sheetViews>
  <sheetFormatPr defaultRowHeight="15" x14ac:dyDescent="0.25"/>
  <cols>
    <col min="10" max="10" width="14" customWidth="1"/>
    <col min="18" max="18" width="0" hidden="1" customWidth="1"/>
  </cols>
  <sheetData>
    <row r="3" spans="2:21" ht="16.5" x14ac:dyDescent="0.35">
      <c r="F3" s="55" t="s">
        <v>163</v>
      </c>
      <c r="G3" s="55"/>
      <c r="H3" s="55"/>
      <c r="I3" s="55"/>
    </row>
    <row r="7" spans="2:21" ht="21" x14ac:dyDescent="0.35">
      <c r="B7" s="67" t="s">
        <v>74</v>
      </c>
      <c r="C7" s="67"/>
      <c r="D7" s="67"/>
      <c r="E7" s="67"/>
      <c r="F7" s="67"/>
      <c r="G7" s="67"/>
    </row>
    <row r="9" spans="2:21" ht="17.25" x14ac:dyDescent="0.25">
      <c r="B9" s="66" t="s">
        <v>75</v>
      </c>
      <c r="C9" s="66"/>
      <c r="D9" s="66"/>
      <c r="E9" s="66"/>
      <c r="G9" s="1" t="s">
        <v>27</v>
      </c>
      <c r="H9" s="1"/>
      <c r="I9" s="5" t="s">
        <v>29</v>
      </c>
      <c r="J9" s="17">
        <f>IF(VARIJANTA="A",PomTab1!W17,IF(VARIJANTA="B",PomTab1!Y17,PomTab1!AA17))</f>
        <v>24.864204935186478</v>
      </c>
      <c r="L9" t="s">
        <v>85</v>
      </c>
      <c r="P9" s="4">
        <v>7</v>
      </c>
      <c r="Q9" s="34" t="s">
        <v>87</v>
      </c>
      <c r="U9" s="52"/>
    </row>
    <row r="10" spans="2:21" ht="17.25" x14ac:dyDescent="0.25">
      <c r="B10" s="63" t="s">
        <v>80</v>
      </c>
      <c r="C10" s="63"/>
      <c r="D10" s="63"/>
      <c r="E10" s="63"/>
      <c r="G10" s="1" t="s">
        <v>27</v>
      </c>
      <c r="H10" s="1"/>
      <c r="I10" s="5" t="s">
        <v>30</v>
      </c>
      <c r="J10" s="17">
        <f>IF(VARIJANTA="A",PomTab1!W18,IF(VARIJANTA="B",PomTab1!Y18,PomTab1!AA18))</f>
        <v>59.35085718029012</v>
      </c>
      <c r="L10" t="s">
        <v>84</v>
      </c>
      <c r="P10" s="4">
        <v>32</v>
      </c>
      <c r="Q10" s="33" t="str">
        <f>IF(VARIJANTA="C","-", IF(VARIJANTA="A","din/m2","din/kW"))</f>
        <v>din/m2</v>
      </c>
    </row>
    <row r="11" spans="2:21" ht="17.25" x14ac:dyDescent="0.25">
      <c r="B11" s="63"/>
      <c r="C11" s="63"/>
      <c r="D11" s="63"/>
      <c r="E11" s="63"/>
      <c r="G11" s="1" t="s">
        <v>28</v>
      </c>
      <c r="H11" s="1"/>
      <c r="I11" s="5" t="s">
        <v>31</v>
      </c>
      <c r="J11" s="17">
        <f>IF(VARIJANTA="A",PomTab1!W19,IF(VARIJANTA="B",PomTab1!Y19,PomTab1!AA19))</f>
        <v>3542.1867562072071</v>
      </c>
      <c r="L11" t="s">
        <v>86</v>
      </c>
      <c r="P11" s="16">
        <v>2387</v>
      </c>
      <c r="Q11" s="33" t="s">
        <v>91</v>
      </c>
      <c r="U11" s="52"/>
    </row>
    <row r="12" spans="2:21" ht="17.25" x14ac:dyDescent="0.25">
      <c r="B12" s="9"/>
      <c r="C12" s="9"/>
      <c r="D12" s="9"/>
      <c r="E12" s="9"/>
      <c r="I12" s="9"/>
      <c r="J12" s="30"/>
      <c r="L12" t="s">
        <v>93</v>
      </c>
      <c r="P12">
        <v>140.24</v>
      </c>
      <c r="Q12" s="33" t="s">
        <v>29</v>
      </c>
    </row>
    <row r="13" spans="2:21" ht="17.25" x14ac:dyDescent="0.25">
      <c r="B13" s="8" t="s">
        <v>77</v>
      </c>
      <c r="C13" s="8"/>
      <c r="D13" s="8"/>
      <c r="E13" s="8"/>
      <c r="F13" s="8"/>
      <c r="G13" s="8"/>
      <c r="H13" s="8"/>
      <c r="L13" t="s">
        <v>92</v>
      </c>
      <c r="P13" s="4">
        <f>$P$12/POWER(1.05,(P14-P15))</f>
        <v>115.37579506481353</v>
      </c>
      <c r="Q13" s="33" t="s">
        <v>29</v>
      </c>
    </row>
    <row r="14" spans="2:21" ht="17.25" x14ac:dyDescent="0.25">
      <c r="B14" s="8" t="s">
        <v>79</v>
      </c>
      <c r="C14" s="8"/>
      <c r="D14" s="8"/>
      <c r="E14" s="8"/>
      <c r="F14" s="8"/>
      <c r="G14" s="8"/>
      <c r="H14" s="8"/>
      <c r="L14" t="s">
        <v>94</v>
      </c>
      <c r="P14">
        <v>24</v>
      </c>
      <c r="Q14" s="33" t="s">
        <v>102</v>
      </c>
    </row>
    <row r="15" spans="2:21" ht="17.25" x14ac:dyDescent="0.25">
      <c r="B15" s="8" t="s">
        <v>78</v>
      </c>
      <c r="C15" s="8"/>
      <c r="D15" s="8"/>
      <c r="E15" s="8"/>
      <c r="F15" s="8"/>
      <c r="G15" s="8"/>
      <c r="H15" s="8"/>
      <c r="L15" t="s">
        <v>95</v>
      </c>
      <c r="P15">
        <v>20</v>
      </c>
      <c r="Q15" s="33" t="s">
        <v>102</v>
      </c>
    </row>
    <row r="16" spans="2:21" ht="17.25" x14ac:dyDescent="0.25">
      <c r="L16" t="s">
        <v>96</v>
      </c>
      <c r="P16">
        <v>20</v>
      </c>
      <c r="Q16" s="33" t="s">
        <v>102</v>
      </c>
    </row>
    <row r="17" spans="2:18" ht="17.25" x14ac:dyDescent="0.25">
      <c r="B17" s="59" t="s">
        <v>143</v>
      </c>
      <c r="C17" s="59"/>
      <c r="E17" s="60" t="s">
        <v>144</v>
      </c>
      <c r="F17" s="60"/>
      <c r="L17" t="s">
        <v>97</v>
      </c>
      <c r="P17">
        <v>-12</v>
      </c>
      <c r="Q17" s="33" t="s">
        <v>102</v>
      </c>
    </row>
    <row r="18" spans="2:18" x14ac:dyDescent="0.25">
      <c r="B18" s="59"/>
      <c r="C18" s="59"/>
      <c r="E18" s="60"/>
      <c r="F18" s="60"/>
      <c r="L18" t="s">
        <v>105</v>
      </c>
      <c r="P18" s="31"/>
      <c r="R18" t="b">
        <v>1</v>
      </c>
    </row>
  </sheetData>
  <sheetProtection selectLockedCells="1"/>
  <mergeCells count="7">
    <mergeCell ref="B17:C18"/>
    <mergeCell ref="E17:F18"/>
    <mergeCell ref="F3:I3"/>
    <mergeCell ref="B9:E9"/>
    <mergeCell ref="B10:E10"/>
    <mergeCell ref="B11:E11"/>
    <mergeCell ref="B7:G7"/>
  </mergeCells>
  <dataValidations count="8">
    <dataValidation type="decimal" allowBlank="1" showInputMessage="1" showErrorMessage="1" errorTitle="Ograničenje" error="Varijabilni deo ne može biti veći od 20 din/kWh." promptTitle="VAR" prompt="Unesi varijabilni deo" sqref="P9" xr:uid="{00000000-0002-0000-0300-000000000000}">
      <formula1>0</formula1>
      <formula2>20</formula2>
    </dataValidation>
    <dataValidation type="decimal" allowBlank="1" showInputMessage="1" showErrorMessage="1" errorTitle="FIX" error="Fiksni deo ne može biti veći od 300 dinara/m2" promptTitle="FIX" prompt="Unesi fiksni deo" sqref="P10" xr:uid="{00000000-0002-0000-0300-000001000000}">
      <formula1>0</formula1>
      <formula2>300</formula2>
    </dataValidation>
    <dataValidation type="whole" allowBlank="1" showInputMessage="1" showErrorMessage="1" promptTitle="POVR" prompt="Unesi grejanu površinu" sqref="P11" xr:uid="{00000000-0002-0000-0300-000002000000}">
      <formula1>0</formula1>
      <formula2>100000</formula2>
    </dataValidation>
    <dataValidation type="decimal" allowBlank="1" showInputMessage="1" showErrorMessage="1" errorTitle="Ograničenje" error="Najveća dozvoljena potrošnja 400 kWh/m2a" promptTitle="POT" prompt="Unesi potrošnju toplote prema elaboratu EE" sqref="P12" xr:uid="{00000000-0002-0000-0300-000003000000}">
      <formula1>0</formula1>
      <formula2>400</formula2>
    </dataValidation>
    <dataValidation type="decimal" allowBlank="1" showInputMessage="1" showErrorMessage="1" errorTitle="Ograničenje" error="Najveća dozvoljena temperatura 26 C" promptTitle="TPPP" prompt="Temperatura prostora prema tehničkim pravilima" sqref="P14" xr:uid="{00000000-0002-0000-0300-000004000000}">
      <formula1>0</formula1>
      <formula2>26</formula2>
    </dataValidation>
    <dataValidation type="decimal" allowBlank="1" showInputMessage="1" showErrorMessage="1" errorTitle="Ograničenje" error="Najveća dozvoljena temperatura 26 C" promptTitle="TPPOP" prompt="Temperatura prostora prema tehničkim pravilima" sqref="P15" xr:uid="{00000000-0002-0000-0300-000005000000}">
      <formula1>0</formula1>
      <formula2>26</formula2>
    </dataValidation>
    <dataValidation type="decimal" allowBlank="1" showInputMessage="1" showErrorMessage="1" errorTitle="Ograničenje" error="U rasponu 20 C do 21 C" promptTitle="SPTP" prompt="Projektna temperatura prostora prema tehničkim pravilima" sqref="P16" xr:uid="{00000000-0002-0000-0300-000006000000}">
      <formula1>20</formula1>
      <formula2>21</formula2>
    </dataValidation>
    <dataValidation type="decimal" allowBlank="1" showInputMessage="1" showErrorMessage="1" promptTitle="PTSP" prompt="Spoljna projektna temperatura prema tehničkim propisima" sqref="P17" xr:uid="{00000000-0002-0000-0300-000007000000}">
      <formula1>-12</formula1>
      <formula2>0</formula2>
    </dataValidation>
  </dataValidations>
  <hyperlinks>
    <hyperlink ref="B17:C18" location="UnosPodataka!O3" display="NAZAD" xr:uid="{00000000-0004-0000-0300-000000000000}"/>
    <hyperlink ref="E17:F18" location="Annuity!B2" display="DALJE" xr:uid="{00000000-0004-0000-0300-000001000000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89" r:id="rId4" name="Check Box 21">
              <controlPr defaultSize="0" autoFill="0" autoLine="0" autoPict="0">
                <anchor moveWithCells="1">
                  <from>
                    <xdr:col>15</xdr:col>
                    <xdr:colOff>180975</xdr:colOff>
                    <xdr:row>16</xdr:row>
                    <xdr:rowOff>200025</xdr:rowOff>
                  </from>
                  <to>
                    <xdr:col>15</xdr:col>
                    <xdr:colOff>447675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Dozvoljen je samo unos ponuđenih opcija." promptTitle="Varijanta naplate" prompt="Odnosi se samo na naplatu po utrošku na jedan od tri ponuđena načina." xr:uid="{00000000-0002-0000-0300-000008000000}">
          <x14:formula1>
            <xm:f>PomTab1!$T$8:$T$10</xm:f>
          </x14:formula1>
          <xm:sqref>B10:E10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3:M32"/>
  <sheetViews>
    <sheetView workbookViewId="0">
      <selection activeCell="F4" sqref="F4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55" t="s">
        <v>163</v>
      </c>
      <c r="E3" s="55"/>
      <c r="F3" s="55"/>
      <c r="G3" s="55"/>
    </row>
    <row r="7" spans="2:13" ht="21" x14ac:dyDescent="0.35">
      <c r="B7" s="67" t="s">
        <v>106</v>
      </c>
      <c r="C7" s="67"/>
      <c r="D7" s="67"/>
      <c r="E7" s="67"/>
      <c r="F7" s="67"/>
      <c r="G7" s="67"/>
    </row>
    <row r="8" spans="2:13" x14ac:dyDescent="0.25">
      <c r="I8" s="59" t="s">
        <v>143</v>
      </c>
      <c r="J8" s="59"/>
      <c r="L8" s="60" t="s">
        <v>144</v>
      </c>
      <c r="M8" s="60"/>
    </row>
    <row r="9" spans="2:13" x14ac:dyDescent="0.25">
      <c r="B9" t="s">
        <v>107</v>
      </c>
      <c r="D9" s="9" t="s">
        <v>1</v>
      </c>
      <c r="E9" s="18">
        <f>LOAN</f>
        <v>11500</v>
      </c>
      <c r="I9" s="59"/>
      <c r="J9" s="59"/>
      <c r="L9" s="60"/>
      <c r="M9" s="60"/>
    </row>
    <row r="11" spans="2:13" x14ac:dyDescent="0.25">
      <c r="B11" s="19" t="s">
        <v>32</v>
      </c>
      <c r="C11" s="19" t="s">
        <v>108</v>
      </c>
      <c r="D11" s="19" t="s">
        <v>109</v>
      </c>
      <c r="E11" s="19" t="s">
        <v>110</v>
      </c>
    </row>
    <row r="13" spans="2:13" x14ac:dyDescent="0.25">
      <c r="B13">
        <v>1</v>
      </c>
      <c r="C13" s="4">
        <f>E9</f>
        <v>11500</v>
      </c>
      <c r="D13" s="4">
        <f>IF(UnosPodataka!M16=0,"",UnosPodataka!$M$16*Annuity!$E$9)</f>
        <v>1380</v>
      </c>
      <c r="E13" s="4">
        <f>PMT(UnosPodataka!$M$16,UnosPodataka!$M$18,Annuity!$E$9)</f>
        <v>-1856.5232873309512</v>
      </c>
    </row>
    <row r="14" spans="2:13" x14ac:dyDescent="0.25">
      <c r="B14">
        <f>IF(B13&lt;UnosPodataka!$M$18,B13+1,"")</f>
        <v>2</v>
      </c>
      <c r="C14" s="4">
        <f>IF(B14&lt;&gt;"",SUM(C13:E13),"")</f>
        <v>11023.476712669049</v>
      </c>
      <c r="D14" s="4">
        <f>IF(B14&lt;&gt;"",C14*UnosPodataka!$M$16,"")</f>
        <v>1322.8172055202858</v>
      </c>
      <c r="E14" s="4">
        <f>IF(B14&lt;&gt;"",PMT(UnosPodataka!$M$16,UnosPodataka!$M$18,Annuity!$E$9),"")</f>
        <v>-1856.5232873309512</v>
      </c>
    </row>
    <row r="15" spans="2:13" x14ac:dyDescent="0.25">
      <c r="B15">
        <f>IF(B14&lt;UnosPodataka!$M$18,B14+1,"")</f>
        <v>3</v>
      </c>
      <c r="C15" s="4">
        <f t="shared" ref="C15:C32" si="0">IF(B15&lt;&gt;"",SUM(C14:E14),"")</f>
        <v>10489.770630858384</v>
      </c>
      <c r="D15" s="4">
        <f>IF(B15&lt;&gt;"",C15*UnosPodataka!$M$16,"")</f>
        <v>1258.772475703006</v>
      </c>
      <c r="E15" s="4">
        <f>IF(B15&lt;&gt;"",PMT(UnosPodataka!$M$16,UnosPodataka!$M$18,Annuity!$E$9),"")</f>
        <v>-1856.5232873309512</v>
      </c>
    </row>
    <row r="16" spans="2:13" x14ac:dyDescent="0.25">
      <c r="B16">
        <f>IF(B15&lt;UnosPodataka!$M$18,B15+1,"")</f>
        <v>4</v>
      </c>
      <c r="C16" s="4">
        <f t="shared" si="0"/>
        <v>9892.0198192304397</v>
      </c>
      <c r="D16" s="4">
        <f>IF(B16&lt;&gt;"",C16*UnosPodataka!$M$16,"")</f>
        <v>1187.0423783076528</v>
      </c>
      <c r="E16" s="4">
        <f>IF(B16&lt;&gt;"",PMT(UnosPodataka!$M$16,UnosPodataka!$M$18,Annuity!$E$9),"")</f>
        <v>-1856.5232873309512</v>
      </c>
    </row>
    <row r="17" spans="2:5" x14ac:dyDescent="0.25">
      <c r="B17">
        <f>IF(B16&lt;UnosPodataka!$M$18,B16+1,"")</f>
        <v>5</v>
      </c>
      <c r="C17" s="4">
        <f t="shared" si="0"/>
        <v>9222.5389102071422</v>
      </c>
      <c r="D17" s="4">
        <f>IF(B17&lt;&gt;"",C17*UnosPodataka!$M$16,"")</f>
        <v>1106.7046692248571</v>
      </c>
      <c r="E17" s="4">
        <f>IF(B17&lt;&gt;"",PMT(UnosPodataka!$M$16,UnosPodataka!$M$18,Annuity!$E$9),"")</f>
        <v>-1856.5232873309512</v>
      </c>
    </row>
    <row r="18" spans="2:5" x14ac:dyDescent="0.25">
      <c r="B18">
        <f>IF(B17&lt;UnosPodataka!$M$18,B17+1,"")</f>
        <v>6</v>
      </c>
      <c r="C18" s="4">
        <f t="shared" si="0"/>
        <v>8472.7202921010485</v>
      </c>
      <c r="D18" s="4">
        <f>IF(B18&lt;&gt;"",C18*UnosPodataka!$M$16,"")</f>
        <v>1016.7264350521258</v>
      </c>
      <c r="E18" s="4">
        <f>IF(B18&lt;&gt;"",PMT(UnosPodataka!$M$16,UnosPodataka!$M$18,Annuity!$E$9),"")</f>
        <v>-1856.5232873309512</v>
      </c>
    </row>
    <row r="19" spans="2:5" x14ac:dyDescent="0.25">
      <c r="B19">
        <f>IF(B18&lt;UnosPodataka!$M$18,B18+1,"")</f>
        <v>7</v>
      </c>
      <c r="C19" s="4">
        <f t="shared" si="0"/>
        <v>7632.9234398222225</v>
      </c>
      <c r="D19" s="4">
        <f>IF(B19&lt;&gt;"",C19*UnosPodataka!$M$16,"")</f>
        <v>915.95081277866666</v>
      </c>
      <c r="E19" s="4">
        <f>IF(B19&lt;&gt;"",PMT(UnosPodataka!$M$16,UnosPodataka!$M$18,Annuity!$E$9),"")</f>
        <v>-1856.5232873309512</v>
      </c>
    </row>
    <row r="20" spans="2:5" x14ac:dyDescent="0.25">
      <c r="B20">
        <f>IF(B19&lt;UnosPodataka!$M$18,B19+1,"")</f>
        <v>8</v>
      </c>
      <c r="C20" s="4">
        <f t="shared" si="0"/>
        <v>6692.3509652699386</v>
      </c>
      <c r="D20" s="4">
        <f>IF(B20&lt;&gt;"",C20*UnosPodataka!$M$16,"")</f>
        <v>803.08211583239256</v>
      </c>
      <c r="E20" s="4">
        <f>IF(B20&lt;&gt;"",PMT(UnosPodataka!$M$16,UnosPodataka!$M$18,Annuity!$E$9),"")</f>
        <v>-1856.5232873309512</v>
      </c>
    </row>
    <row r="21" spans="2:5" x14ac:dyDescent="0.25">
      <c r="B21">
        <f>IF(B20&lt;UnosPodataka!$M$18,B20+1,"")</f>
        <v>9</v>
      </c>
      <c r="C21" s="4">
        <f t="shared" si="0"/>
        <v>5638.9097937713796</v>
      </c>
      <c r="D21" s="4">
        <f>IF(B21&lt;&gt;"",C21*UnosPodataka!$M$16,"")</f>
        <v>676.66917525256554</v>
      </c>
      <c r="E21" s="4">
        <f>IF(B21&lt;&gt;"",PMT(UnosPodataka!$M$16,UnosPodataka!$M$18,Annuity!$E$9),"")</f>
        <v>-1856.5232873309512</v>
      </c>
    </row>
    <row r="22" spans="2:5" x14ac:dyDescent="0.25">
      <c r="B22">
        <f>IF(B21&lt;UnosPodataka!$M$18,B21+1,"")</f>
        <v>10</v>
      </c>
      <c r="C22" s="4">
        <f t="shared" si="0"/>
        <v>4459.0556816929939</v>
      </c>
      <c r="D22" s="4">
        <f>IF(B22&lt;&gt;"",C22*UnosPodataka!$M$16,"")</f>
        <v>535.08668180315919</v>
      </c>
      <c r="E22" s="4">
        <f>IF(B22&lt;&gt;"",PMT(UnosPodataka!$M$16,UnosPodataka!$M$18,Annuity!$E$9),"")</f>
        <v>-1856.5232873309512</v>
      </c>
    </row>
    <row r="23" spans="2:5" x14ac:dyDescent="0.25">
      <c r="B23">
        <f>IF(B22&lt;UnosPodataka!$M$18,B22+1,"")</f>
        <v>11</v>
      </c>
      <c r="C23" s="4">
        <f t="shared" si="0"/>
        <v>3137.6190761652015</v>
      </c>
      <c r="D23" s="4">
        <f>IF(B23&lt;&gt;"",C23*UnosPodataka!$M$16,"")</f>
        <v>376.51428913982414</v>
      </c>
      <c r="E23" s="4">
        <f>IF(B23&lt;&gt;"",PMT(UnosPodataka!$M$16,UnosPodataka!$M$18,Annuity!$E$9),"")</f>
        <v>-1856.5232873309512</v>
      </c>
    </row>
    <row r="24" spans="2:5" x14ac:dyDescent="0.25">
      <c r="B24">
        <f>IF(B23&lt;UnosPodataka!$M$18,B23+1,"")</f>
        <v>12</v>
      </c>
      <c r="C24" s="4">
        <f t="shared" si="0"/>
        <v>1657.6100779740743</v>
      </c>
      <c r="D24" s="4">
        <f>IF(B24&lt;&gt;"",C24*UnosPodataka!$M$16,"")</f>
        <v>198.9132093568889</v>
      </c>
      <c r="E24" s="4">
        <f>IF(B24&lt;&gt;"",PMT(UnosPodataka!$M$16,UnosPodataka!$M$18,Annuity!$E$9),"")</f>
        <v>-1856.5232873309512</v>
      </c>
    </row>
    <row r="25" spans="2:5" x14ac:dyDescent="0.25">
      <c r="B25" t="str">
        <f>IF(B24&lt;UnosPodataka!$M$18,B24+1,"")</f>
        <v/>
      </c>
      <c r="C25" s="4" t="str">
        <f t="shared" si="0"/>
        <v/>
      </c>
      <c r="D25" s="4" t="str">
        <f>IF(B25&lt;&gt;"",C25*UnosPodataka!$M$16,"")</f>
        <v/>
      </c>
      <c r="E25" s="4" t="str">
        <f>IF(B25&lt;&gt;"",PMT(UnosPodataka!$M$16,UnosPodataka!$M$18,Annuity!$E$9),"")</f>
        <v/>
      </c>
    </row>
    <row r="26" spans="2:5" x14ac:dyDescent="0.25">
      <c r="B26" t="str">
        <f>IF(B25&lt;UnosPodataka!$M$18,B25+1,"")</f>
        <v/>
      </c>
      <c r="C26" s="4" t="str">
        <f t="shared" si="0"/>
        <v/>
      </c>
      <c r="D26" s="4" t="str">
        <f>IF(B26&lt;&gt;"",C26*UnosPodataka!$M$16,"")</f>
        <v/>
      </c>
      <c r="E26" s="4" t="str">
        <f>IF(B26&lt;&gt;"",PMT(UnosPodataka!$M$16,UnosPodataka!$M$18,Annuity!$E$9),"")</f>
        <v/>
      </c>
    </row>
    <row r="27" spans="2:5" x14ac:dyDescent="0.25">
      <c r="B27" t="str">
        <f>IF(B26&lt;UnosPodataka!$M$18,B26+1,"")</f>
        <v/>
      </c>
      <c r="C27" s="4" t="str">
        <f t="shared" si="0"/>
        <v/>
      </c>
      <c r="D27" s="4" t="str">
        <f>IF(B27&lt;&gt;"",C27*UnosPodataka!$M$16,"")</f>
        <v/>
      </c>
      <c r="E27" s="4" t="str">
        <f>IF(B27&lt;&gt;"",PMT(UnosPodataka!$M$16,UnosPodataka!$M$18,Annuity!$E$9),"")</f>
        <v/>
      </c>
    </row>
    <row r="28" spans="2:5" x14ac:dyDescent="0.25">
      <c r="B28" t="str">
        <f>IF(B27&lt;UnosPodataka!$M$18,B27+1,"")</f>
        <v/>
      </c>
      <c r="C28" s="4" t="str">
        <f t="shared" si="0"/>
        <v/>
      </c>
      <c r="D28" s="4" t="str">
        <f>IF(B28&lt;&gt;"",C28*UnosPodataka!$M$16,"")</f>
        <v/>
      </c>
      <c r="E28" s="4" t="str">
        <f>IF(B28&lt;&gt;"",PMT(UnosPodataka!$M$16,UnosPodataka!$M$18,Annuity!$E$9),"")</f>
        <v/>
      </c>
    </row>
    <row r="29" spans="2:5" x14ac:dyDescent="0.25">
      <c r="B29" t="str">
        <f>IF(B28&lt;UnosPodataka!$M$18,B28+1,"")</f>
        <v/>
      </c>
      <c r="C29" s="4" t="str">
        <f t="shared" si="0"/>
        <v/>
      </c>
      <c r="D29" s="4" t="str">
        <f>IF(B29&lt;&gt;"",C29*UnosPodataka!$M$16,"")</f>
        <v/>
      </c>
      <c r="E29" s="4" t="str">
        <f>IF(B29&lt;&gt;"",PMT(UnosPodataka!$M$16,UnosPodataka!$M$18,Annuity!$E$9),"")</f>
        <v/>
      </c>
    </row>
    <row r="30" spans="2:5" x14ac:dyDescent="0.25">
      <c r="B30" t="str">
        <f>IF(B29&lt;UnosPodataka!$M$18,B29+1,"")</f>
        <v/>
      </c>
      <c r="C30" s="4" t="str">
        <f t="shared" si="0"/>
        <v/>
      </c>
      <c r="D30" s="4" t="str">
        <f>IF(B30&lt;&gt;"",C30*UnosPodataka!$M$16,"")</f>
        <v/>
      </c>
      <c r="E30" s="4" t="str">
        <f>IF(B30&lt;&gt;"",PMT(UnosPodataka!$M$16,UnosPodataka!$M$18,Annuity!$E$9),"")</f>
        <v/>
      </c>
    </row>
    <row r="31" spans="2:5" x14ac:dyDescent="0.25">
      <c r="B31" t="str">
        <f>IF(B30&lt;UnosPodataka!$M$18,B30+1,"")</f>
        <v/>
      </c>
      <c r="C31" s="4" t="str">
        <f t="shared" si="0"/>
        <v/>
      </c>
      <c r="D31" s="4" t="str">
        <f>IF(B31&lt;&gt;"",C31*UnosPodataka!$M$16,"")</f>
        <v/>
      </c>
      <c r="E31" s="4" t="str">
        <f>IF(B31&lt;&gt;"",PMT(UnosPodataka!$M$16,UnosPodataka!$M$18,Annuity!$E$9),"")</f>
        <v/>
      </c>
    </row>
    <row r="32" spans="2:5" x14ac:dyDescent="0.25">
      <c r="B32" t="str">
        <f>IF(B31&lt;UnosPodataka!$M$18,B31+1,"")</f>
        <v/>
      </c>
      <c r="C32" s="4" t="str">
        <f t="shared" si="0"/>
        <v/>
      </c>
      <c r="D32" s="4" t="str">
        <f>IF(B32&lt;&gt;"",C32*UnosPodataka!$M$16,"")</f>
        <v/>
      </c>
      <c r="E32" s="4" t="str">
        <f>IF(B32&lt;&gt;"",PMT(UnosPodataka!$M$16,UnosPodataka!$M$18,Annuity!$E$9),"")</f>
        <v/>
      </c>
    </row>
  </sheetData>
  <sheetProtection selectLockedCells="1" selectUnlockedCells="1"/>
  <mergeCells count="4">
    <mergeCell ref="B7:G7"/>
    <mergeCell ref="I8:J9"/>
    <mergeCell ref="L8:M9"/>
    <mergeCell ref="D3:G3"/>
  </mergeCells>
  <hyperlinks>
    <hyperlink ref="I8:J9" location="Ustede!B12" display="NAZAD" xr:uid="{00000000-0004-0000-0400-000000000000}"/>
    <hyperlink ref="L8:M9" location="FinaIndicators!A1" display="DALJE" xr:uid="{00000000-0004-0000-0400-000001000000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3:Z60"/>
  <sheetViews>
    <sheetView showZeros="0" zoomScale="80" zoomScaleNormal="80" workbookViewId="0">
      <selection activeCell="F22" sqref="F22"/>
    </sheetView>
  </sheetViews>
  <sheetFormatPr defaultRowHeight="15" x14ac:dyDescent="0.25"/>
  <cols>
    <col min="4" max="4" width="24.28515625" customWidth="1"/>
    <col min="5" max="6" width="11.85546875" customWidth="1"/>
    <col min="7" max="8" width="11.28515625" customWidth="1"/>
    <col min="9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7109375" customWidth="1"/>
    <col min="19" max="20" width="13.28515625" customWidth="1"/>
    <col min="21" max="22" width="12.7109375" customWidth="1"/>
    <col min="23" max="23" width="12.85546875" customWidth="1"/>
    <col min="24" max="24" width="12.140625" customWidth="1"/>
    <col min="25" max="25" width="12.85546875" customWidth="1"/>
  </cols>
  <sheetData>
    <row r="3" spans="1:25" ht="16.5" x14ac:dyDescent="0.35">
      <c r="E3" s="55" t="s">
        <v>163</v>
      </c>
      <c r="F3" s="55"/>
      <c r="G3" s="55"/>
      <c r="H3" s="55"/>
    </row>
    <row r="7" spans="1:25" ht="21" x14ac:dyDescent="0.35">
      <c r="A7" s="67" t="s">
        <v>111</v>
      </c>
      <c r="B7" s="67"/>
      <c r="C7" s="67"/>
      <c r="D7" s="67"/>
      <c r="I7" s="59" t="s">
        <v>143</v>
      </c>
      <c r="J7" s="59"/>
      <c r="N7" s="60" t="s">
        <v>144</v>
      </c>
      <c r="O7" s="60"/>
    </row>
    <row r="9" spans="1:25" x14ac:dyDescent="0.25">
      <c r="A9" s="58" t="s">
        <v>64</v>
      </c>
      <c r="B9" s="58"/>
      <c r="C9" s="58"/>
      <c r="D9" s="58"/>
      <c r="E9" s="19">
        <v>0</v>
      </c>
      <c r="F9" s="19">
        <v>1</v>
      </c>
      <c r="G9" s="19">
        <f>IF(F9&lt;UnosPodataka!$M$21,FinaIndicators!F9+1,"")</f>
        <v>2</v>
      </c>
      <c r="H9" s="19">
        <f>IF(G9&lt;UnosPodataka!$M$21,FinaIndicators!G9+1,"")</f>
        <v>3</v>
      </c>
      <c r="I9" s="19">
        <f>IF(H9&lt;UnosPodataka!$M$21,FinaIndicators!H9+1,"")</f>
        <v>4</v>
      </c>
      <c r="J9" s="19">
        <f>IF(I9&lt;UnosPodataka!$M$21,FinaIndicators!I9+1,"")</f>
        <v>5</v>
      </c>
      <c r="K9" s="19">
        <f>IF(J9&lt;UnosPodataka!$M$21,FinaIndicators!J9+1,"")</f>
        <v>6</v>
      </c>
      <c r="L9" s="19">
        <f>IF(K9&lt;UnosPodataka!$M$21,FinaIndicators!K9+1,"")</f>
        <v>7</v>
      </c>
      <c r="M9" s="19">
        <f>IF(L9&lt;UnosPodataka!$M$21,FinaIndicators!L9+1,"")</f>
        <v>8</v>
      </c>
      <c r="N9" s="19">
        <f>IF(M9&lt;UnosPodataka!$M$21,FinaIndicators!M9+1,"")</f>
        <v>9</v>
      </c>
      <c r="O9" s="19">
        <f>IF(N9&lt;UnosPodataka!$M$21,FinaIndicators!N9+1,"")</f>
        <v>10</v>
      </c>
      <c r="P9" s="19">
        <f>IF(O9&lt;UnosPodataka!$M$21,FinaIndicators!O9+1,"")</f>
        <v>11</v>
      </c>
      <c r="Q9" s="19">
        <f>IF(P9&lt;UnosPodataka!$M$21,FinaIndicators!P9+1,"")</f>
        <v>12</v>
      </c>
      <c r="R9" s="19">
        <f>IF(Q9&lt;UnosPodataka!$M$21,FinaIndicators!Q9+1,"")</f>
        <v>13</v>
      </c>
      <c r="S9" s="19">
        <f>IF(R9&lt;UnosPodataka!$M$21,FinaIndicators!R9+1,"")</f>
        <v>14</v>
      </c>
      <c r="T9" s="19">
        <f>IF(S9&lt;UnosPodataka!$M$21,FinaIndicators!S9+1,"")</f>
        <v>15</v>
      </c>
      <c r="U9" s="19" t="str">
        <f>IF(T9&lt;UnosPodataka!$M$21,FinaIndicators!T9+1,"")</f>
        <v/>
      </c>
      <c r="V9" s="19" t="str">
        <f>IF(U9&lt;UnosPodataka!$M$21,FinaIndicators!U9+1,"")</f>
        <v/>
      </c>
      <c r="W9" s="19" t="str">
        <f>IF(V9&lt;UnosPodataka!$M$21,FinaIndicators!V9+1,"")</f>
        <v/>
      </c>
      <c r="X9" s="19" t="str">
        <f>IF(W9&lt;UnosPodataka!$M$21,FinaIndicators!W9+1,"")</f>
        <v/>
      </c>
      <c r="Y9" s="19" t="str">
        <f>IF(X9&lt;UnosPodataka!$M$21,FinaIndicators!X9+1,"")</f>
        <v/>
      </c>
    </row>
    <row r="11" spans="1:25" x14ac:dyDescent="0.25">
      <c r="A11" s="62" t="s">
        <v>112</v>
      </c>
      <c r="B11" s="62"/>
      <c r="C11" s="62"/>
      <c r="D11" s="62"/>
      <c r="E11" s="4">
        <f>LOAN</f>
        <v>11500</v>
      </c>
    </row>
    <row r="12" spans="1:25" x14ac:dyDescent="0.25">
      <c r="A12" s="62" t="s">
        <v>113</v>
      </c>
      <c r="B12" s="62"/>
      <c r="C12" s="62"/>
      <c r="D12" s="62"/>
      <c r="E12" s="4">
        <f>IF(EQUITY=0,LOAN,EQUITY)</f>
        <v>2000</v>
      </c>
    </row>
    <row r="13" spans="1:25" x14ac:dyDescent="0.25">
      <c r="A13" s="62" t="s">
        <v>168</v>
      </c>
      <c r="B13" s="62"/>
      <c r="C13" s="62"/>
      <c r="D13" s="62"/>
      <c r="E13" s="4">
        <f>+PomTab1!K22</f>
        <v>8500</v>
      </c>
    </row>
    <row r="14" spans="1:25" x14ac:dyDescent="0.25">
      <c r="A14" s="62" t="s">
        <v>114</v>
      </c>
      <c r="B14" s="62"/>
      <c r="C14" s="62"/>
      <c r="D14" s="62"/>
      <c r="F14" s="4">
        <f>IF(F9&lt;&gt;"",Ustede!$J$10,"")</f>
        <v>59.35085718029012</v>
      </c>
      <c r="G14" s="4">
        <f>IF(G9&lt;&gt;"",Ustede!$J$10,"")</f>
        <v>59.35085718029012</v>
      </c>
      <c r="H14" s="4">
        <f>IF(H9&lt;&gt;"",Ustede!$J$10,"")</f>
        <v>59.35085718029012</v>
      </c>
      <c r="I14" s="4">
        <f>IF(I9&lt;&gt;"",Ustede!$J$10,"")</f>
        <v>59.35085718029012</v>
      </c>
      <c r="J14" s="4">
        <f>IF(J9&lt;&gt;"",Ustede!$J$10,"")</f>
        <v>59.35085718029012</v>
      </c>
      <c r="K14" s="4">
        <f>IF(K9&lt;&gt;"",Ustede!$J$10,"")</f>
        <v>59.35085718029012</v>
      </c>
      <c r="L14" s="4">
        <f>IF(L9&lt;&gt;"",Ustede!$J$10,"")</f>
        <v>59.35085718029012</v>
      </c>
      <c r="M14" s="4">
        <f>IF(M9&lt;&gt;"",Ustede!$J$10,"")</f>
        <v>59.35085718029012</v>
      </c>
      <c r="N14" s="4">
        <f>IF(N9&lt;&gt;"",Ustede!$J$10,"")</f>
        <v>59.35085718029012</v>
      </c>
      <c r="O14" s="4">
        <f>IF(O9&lt;&gt;"",Ustede!$J$10,"")</f>
        <v>59.35085718029012</v>
      </c>
      <c r="P14" s="4">
        <f>IF(P9&lt;&gt;"",Ustede!$J$10,"")</f>
        <v>59.35085718029012</v>
      </c>
      <c r="Q14" s="4">
        <f>IF(Q9&lt;&gt;"",Ustede!$J$10,"")</f>
        <v>59.35085718029012</v>
      </c>
      <c r="R14" s="4">
        <f>IF(R9&lt;&gt;"",Ustede!$J$10,"")</f>
        <v>59.35085718029012</v>
      </c>
      <c r="S14" s="4">
        <f>IF(S9&lt;&gt;"",Ustede!$J$10,"")</f>
        <v>59.35085718029012</v>
      </c>
      <c r="T14" s="4">
        <f>IF(T9&lt;&gt;"",Ustede!$J$10,"")</f>
        <v>59.35085718029012</v>
      </c>
      <c r="U14" s="4" t="str">
        <f>IF(U9&lt;&gt;"",Ustede!$J$10,"")</f>
        <v/>
      </c>
      <c r="V14" s="4" t="str">
        <f>IF(V9&lt;&gt;"",Ustede!$J$10,"")</f>
        <v/>
      </c>
      <c r="W14" s="4" t="str">
        <f>IF(W9&lt;&gt;"",Ustede!$J$10,"")</f>
        <v/>
      </c>
      <c r="X14" s="4" t="str">
        <f>IF(X9&lt;&gt;"",Ustede!$J$10,"")</f>
        <v/>
      </c>
      <c r="Y14" s="4" t="str">
        <f>IF(Y9&lt;&gt;"",Ustede!$J$10,"")</f>
        <v/>
      </c>
    </row>
    <row r="15" spans="1:25" x14ac:dyDescent="0.25">
      <c r="A15" s="62" t="s">
        <v>115</v>
      </c>
      <c r="B15" s="62"/>
      <c r="C15" s="62"/>
      <c r="D15" s="62"/>
      <c r="F15" s="4">
        <f>IF(F9&lt;&gt;"",Ustede!$J$11,"")</f>
        <v>3542.1867562072071</v>
      </c>
      <c r="G15" s="4">
        <f>IF(G9&lt;&gt;"",Ustede!$J$11,"")</f>
        <v>3542.1867562072071</v>
      </c>
      <c r="H15" s="4">
        <f>IF(H9&lt;&gt;"",Ustede!$J$11,"")</f>
        <v>3542.1867562072071</v>
      </c>
      <c r="I15" s="4">
        <f>IF(I9&lt;&gt;"",Ustede!$J$11,"")</f>
        <v>3542.1867562072071</v>
      </c>
      <c r="J15" s="4">
        <f>IF(J9&lt;&gt;"",Ustede!$J$11,"")</f>
        <v>3542.1867562072071</v>
      </c>
      <c r="K15" s="4">
        <f>IF(K9&lt;&gt;"",Ustede!$J$11,"")</f>
        <v>3542.1867562072071</v>
      </c>
      <c r="L15" s="4">
        <f>IF(L9&lt;&gt;"",Ustede!$J$11,"")</f>
        <v>3542.1867562072071</v>
      </c>
      <c r="M15" s="4">
        <f>IF(M9&lt;&gt;"",Ustede!$J$11,"")</f>
        <v>3542.1867562072071</v>
      </c>
      <c r="N15" s="4">
        <f>IF(N9&lt;&gt;"",Ustede!$J$11,"")</f>
        <v>3542.1867562072071</v>
      </c>
      <c r="O15" s="4">
        <f>IF(O9&lt;&gt;"",Ustede!$J$11,"")</f>
        <v>3542.1867562072071</v>
      </c>
      <c r="P15" s="4">
        <f>IF(P9&lt;&gt;"",Ustede!$J$11,"")</f>
        <v>3542.1867562072071</v>
      </c>
      <c r="Q15" s="4">
        <f>IF(Q9&lt;&gt;"",Ustede!$J$11,"")</f>
        <v>3542.1867562072071</v>
      </c>
      <c r="R15" s="4">
        <f>IF(R9&lt;&gt;"",Ustede!$J$11,"")</f>
        <v>3542.1867562072071</v>
      </c>
      <c r="S15" s="4">
        <f>IF(S9&lt;&gt;"",Ustede!$J$11,"")</f>
        <v>3542.1867562072071</v>
      </c>
      <c r="T15" s="4">
        <f>IF(T9&lt;&gt;"",Ustede!$J$11,"")</f>
        <v>3542.1867562072071</v>
      </c>
      <c r="U15" s="4" t="str">
        <f>IF(U9&lt;&gt;"",Ustede!$J$11,"")</f>
        <v/>
      </c>
      <c r="V15" s="4" t="str">
        <f>IF(V9&lt;&gt;"",Ustede!$J$11,"")</f>
        <v/>
      </c>
      <c r="W15" s="4" t="str">
        <f>IF(W9&lt;&gt;"",Ustede!$J$11,"")</f>
        <v/>
      </c>
      <c r="X15" s="4" t="str">
        <f>IF(X9&lt;&gt;"",Ustede!$J$11,"")</f>
        <v/>
      </c>
      <c r="Y15" s="4" t="str">
        <f>IF(Y9&lt;&gt;"",Ustede!$J$11,"")</f>
        <v/>
      </c>
    </row>
    <row r="16" spans="1:25" x14ac:dyDescent="0.25">
      <c r="A16" s="37"/>
      <c r="B16" s="37"/>
      <c r="C16" s="37"/>
      <c r="D16" s="37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58" t="s">
        <v>169</v>
      </c>
      <c r="B17" s="58"/>
      <c r="C17" s="58"/>
      <c r="D17" s="58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x14ac:dyDescent="0.25">
      <c r="A18" s="69" t="s">
        <v>116</v>
      </c>
      <c r="B18" s="69"/>
      <c r="C18" s="69"/>
      <c r="D18" s="69"/>
      <c r="E18" s="38"/>
      <c r="F18" s="39">
        <f>IF(F9&lt;&gt;"",F15,"")</f>
        <v>3542.1867562072071</v>
      </c>
      <c r="G18" s="39">
        <f t="shared" ref="G18:Y18" si="0">IF(G9&lt;&gt;"",G15,"")</f>
        <v>3542.1867562072071</v>
      </c>
      <c r="H18" s="39">
        <f t="shared" si="0"/>
        <v>3542.1867562072071</v>
      </c>
      <c r="I18" s="39">
        <f t="shared" si="0"/>
        <v>3542.1867562072071</v>
      </c>
      <c r="J18" s="39">
        <f t="shared" si="0"/>
        <v>3542.1867562072071</v>
      </c>
      <c r="K18" s="39">
        <f t="shared" si="0"/>
        <v>3542.1867562072071</v>
      </c>
      <c r="L18" s="39">
        <f t="shared" si="0"/>
        <v>3542.1867562072071</v>
      </c>
      <c r="M18" s="39">
        <f t="shared" si="0"/>
        <v>3542.1867562072071</v>
      </c>
      <c r="N18" s="39">
        <f t="shared" si="0"/>
        <v>3542.1867562072071</v>
      </c>
      <c r="O18" s="39">
        <f t="shared" si="0"/>
        <v>3542.1867562072071</v>
      </c>
      <c r="P18" s="39">
        <f t="shared" si="0"/>
        <v>3542.1867562072071</v>
      </c>
      <c r="Q18" s="39">
        <f t="shared" si="0"/>
        <v>3542.1867562072071</v>
      </c>
      <c r="R18" s="39">
        <f t="shared" si="0"/>
        <v>3542.1867562072071</v>
      </c>
      <c r="S18" s="39">
        <f t="shared" si="0"/>
        <v>3542.1867562072071</v>
      </c>
      <c r="T18" s="39">
        <f t="shared" si="0"/>
        <v>3542.1867562072071</v>
      </c>
      <c r="U18" s="4" t="str">
        <f t="shared" si="0"/>
        <v/>
      </c>
      <c r="V18" s="4" t="str">
        <f t="shared" si="0"/>
        <v/>
      </c>
      <c r="W18" s="4" t="str">
        <f t="shared" si="0"/>
        <v/>
      </c>
      <c r="X18" s="4" t="str">
        <f t="shared" si="0"/>
        <v/>
      </c>
      <c r="Y18" s="4" t="str">
        <f t="shared" si="0"/>
        <v/>
      </c>
    </row>
    <row r="19" spans="1:25" x14ac:dyDescent="0.25">
      <c r="A19" s="63"/>
      <c r="B19" s="63"/>
      <c r="C19" s="63"/>
      <c r="D19" s="63"/>
    </row>
    <row r="20" spans="1:25" x14ac:dyDescent="0.25">
      <c r="A20" s="58" t="s">
        <v>170</v>
      </c>
      <c r="B20" s="58"/>
      <c r="C20" s="58"/>
      <c r="D20" s="58"/>
    </row>
    <row r="21" spans="1:25" x14ac:dyDescent="0.25">
      <c r="A21" s="62" t="s">
        <v>117</v>
      </c>
      <c r="B21" s="62"/>
      <c r="C21" s="62"/>
      <c r="D21" s="62"/>
      <c r="F21" s="4">
        <f>IF(F9&gt;UnosPodataka!$M$18,"",-VLOOKUP(F9,Annuity!$B$13:$E$32,3,FALSE))</f>
        <v>-1380</v>
      </c>
      <c r="G21" s="4">
        <f>IF(G9&gt;UnosPodataka!$M$18,"",-VLOOKUP(G9,Annuity!$B$13:$E$32,3,FALSE))</f>
        <v>-1322.8172055202858</v>
      </c>
      <c r="H21" s="4">
        <f>IF(H9&gt;UnosPodataka!$M$18,"",-VLOOKUP(H9,Annuity!$B$13:$E$32,3,FALSE))</f>
        <v>-1258.772475703006</v>
      </c>
      <c r="I21" s="4">
        <f>IF(I9&gt;UnosPodataka!$M$18,"",-VLOOKUP(I9,Annuity!$B$13:$E$32,3,FALSE))</f>
        <v>-1187.0423783076528</v>
      </c>
      <c r="J21" s="4">
        <f>IF(J9&gt;UnosPodataka!$M$18,"",-VLOOKUP(J9,Annuity!$B$13:$E$32,3,FALSE))</f>
        <v>-1106.7046692248571</v>
      </c>
      <c r="K21" s="4">
        <f>IF(K9&gt;UnosPodataka!$M$18,"",-VLOOKUP(K9,Annuity!$B$13:$E$32,3,FALSE))</f>
        <v>-1016.7264350521258</v>
      </c>
      <c r="L21" s="4">
        <f>IF(L9&gt;UnosPodataka!$M$18,"",-VLOOKUP(L9,Annuity!$B$13:$E$32,3,FALSE))</f>
        <v>-915.95081277866666</v>
      </c>
      <c r="M21" s="4">
        <f>IF(M9&gt;UnosPodataka!$M$18,"",-VLOOKUP(M9,Annuity!$B$13:$E$32,3,FALSE))</f>
        <v>-803.08211583239256</v>
      </c>
      <c r="N21" s="4">
        <f>IF(N9&gt;UnosPodataka!$M$18,"",-VLOOKUP(N9,Annuity!$B$13:$E$32,3,FALSE))</f>
        <v>-676.66917525256554</v>
      </c>
      <c r="O21" s="4">
        <f>IF(O9&gt;UnosPodataka!$M$18,"",-VLOOKUP(O9,Annuity!$B$13:$E$32,3,FALSE))</f>
        <v>-535.08668180315919</v>
      </c>
      <c r="P21" s="4">
        <f>IF(P9&gt;UnosPodataka!$M$18,"",-VLOOKUP(P9,Annuity!$B$13:$E$32,3,FALSE))</f>
        <v>-376.51428913982414</v>
      </c>
      <c r="Q21" s="4">
        <f>IF(Q9&gt;UnosPodataka!$M$18,"",-VLOOKUP(Q9,Annuity!$B$13:$E$32,3,FALSE))</f>
        <v>-198.9132093568889</v>
      </c>
      <c r="R21" s="4" t="str">
        <f>IF(R9&gt;UnosPodataka!$M$18,"",-VLOOKUP(R9,Annuity!$B$13:$E$32,3,FALSE))</f>
        <v/>
      </c>
      <c r="S21" s="4" t="str">
        <f>IF(S9&gt;UnosPodataka!$M$18,"",-VLOOKUP(S9,Annuity!$B$13:$E$32,3,FALSE))</f>
        <v/>
      </c>
      <c r="T21" s="4" t="str">
        <f>IF(T9&gt;UnosPodataka!$M$18,"",-VLOOKUP(T9,Annuity!$B$13:$E$32,3,FALSE))</f>
        <v/>
      </c>
      <c r="U21" s="4" t="str">
        <f>IF(U9&gt;UnosPodataka!$M$18,"",-VLOOKUP(U9,Annuity!$B$13:$E$32,3,FALSE))</f>
        <v/>
      </c>
      <c r="V21" s="4" t="str">
        <f>IF(V9&gt;UnosPodataka!$M$18,"",-VLOOKUP(V9,Annuity!$B$13:$E$32,3,FALSE))</f>
        <v/>
      </c>
      <c r="W21" s="4" t="str">
        <f>IF(W9&gt;UnosPodataka!$M$18,"",-VLOOKUP(W9,Annuity!$B$13:$E$32,3,FALSE))</f>
        <v/>
      </c>
      <c r="X21" s="4" t="str">
        <f>IF(X9&gt;UnosPodataka!$M$18,"",-VLOOKUP(X9,Annuity!$B$13:$E$32,3,FALSE))</f>
        <v/>
      </c>
      <c r="Y21" s="4" t="str">
        <f>IF(Y9&gt;UnosPodataka!$M$18,"",-VLOOKUP(Y9,Annuity!$B$13:$E$32,3,FALSE))</f>
        <v/>
      </c>
    </row>
    <row r="22" spans="1:25" x14ac:dyDescent="0.25">
      <c r="A22" s="37" t="s">
        <v>171</v>
      </c>
      <c r="B22" s="37"/>
      <c r="C22" s="37"/>
      <c r="D22" s="37"/>
      <c r="F22" s="4">
        <f>IF(F21="",0,IF(F9&gt;UnosPodataka!$M$18,"",VLOOKUP(F9,Annuity!$B$13:$E$32,4,FALSE)+VLOOKUP(F9,Annuity!$B$13:$E$32,3,FALSE)))</f>
        <v>-476.52328733095123</v>
      </c>
      <c r="G22" s="4">
        <f>IF(G21="",0,IF(G9&gt;UnosPodataka!$M$18,"",VLOOKUP(G9,Annuity!$B$13:$E$32,4,FALSE)+VLOOKUP(G9,Annuity!$B$13:$E$32,3,FALSE)))</f>
        <v>-533.70608181066541</v>
      </c>
      <c r="H22" s="4">
        <f>IF(H21="",0,IF(H9&gt;UnosPodataka!$M$18,"",VLOOKUP(H9,Annuity!$B$13:$E$32,4,FALSE)+VLOOKUP(H9,Annuity!$B$13:$E$32,3,FALSE)))</f>
        <v>-597.75081162794527</v>
      </c>
      <c r="I22" s="4">
        <f>IF(I21="",0,IF(I9&gt;UnosPodataka!$M$18,"",VLOOKUP(I9,Annuity!$B$13:$E$32,4,FALSE)+VLOOKUP(I9,Annuity!$B$13:$E$32,3,FALSE)))</f>
        <v>-669.48090902329841</v>
      </c>
      <c r="J22" s="4">
        <f>IF(J21="",0,IF(J9&gt;UnosPodataka!$M$18,"",VLOOKUP(J9,Annuity!$B$13:$E$32,4,FALSE)+VLOOKUP(J9,Annuity!$B$13:$E$32,3,FALSE)))</f>
        <v>-749.81861810609416</v>
      </c>
      <c r="K22" s="4">
        <f>IF(K21="",0,IF(K9&gt;UnosPodataka!$M$18,"",VLOOKUP(K9,Annuity!$B$13:$E$32,4,FALSE)+VLOOKUP(K9,Annuity!$B$13:$E$32,3,FALSE)))</f>
        <v>-839.79685227882544</v>
      </c>
      <c r="L22" s="4">
        <f>IF(L21="",0,IF(L9&gt;UnosPodataka!$M$18,"",VLOOKUP(L9,Annuity!$B$13:$E$32,4,FALSE)+VLOOKUP(L9,Annuity!$B$13:$E$32,3,FALSE)))</f>
        <v>-940.57247455228458</v>
      </c>
      <c r="M22" s="4">
        <f>IF(M21="",0,IF(M9&gt;UnosPodataka!$M$18,"",VLOOKUP(M9,Annuity!$B$13:$E$32,4,FALSE)+VLOOKUP(M9,Annuity!$B$13:$E$32,3,FALSE)))</f>
        <v>-1053.4411714985586</v>
      </c>
      <c r="N22" s="4">
        <f>IF(N21="",0,IF(N9&gt;UnosPodataka!$M$18,"",VLOOKUP(N9,Annuity!$B$13:$E$32,4,FALSE)+VLOOKUP(N9,Annuity!$B$13:$E$32,3,FALSE)))</f>
        <v>-1179.8541120783857</v>
      </c>
      <c r="O22" s="4">
        <f>IF(O21="",0,IF(O9&gt;UnosPodataka!$M$18,"",VLOOKUP(O9,Annuity!$B$13:$E$32,4,FALSE)+VLOOKUP(O9,Annuity!$B$13:$E$32,3,FALSE)))</f>
        <v>-1321.4366055277919</v>
      </c>
      <c r="P22" s="4">
        <f>IF(P21="",0,IF(P9&gt;UnosPodataka!$M$18,"",VLOOKUP(P9,Annuity!$B$13:$E$32,4,FALSE)+VLOOKUP(P9,Annuity!$B$13:$E$32,3,FALSE)))</f>
        <v>-1480.0089981911271</v>
      </c>
      <c r="Q22" s="4">
        <f>IF(Q21="",0,IF(Q9&gt;UnosPodataka!$M$18,"",VLOOKUP(Q9,Annuity!$B$13:$E$32,4,FALSE)+VLOOKUP(Q9,Annuity!$B$13:$E$32,3,FALSE)))</f>
        <v>-1657.6100779740623</v>
      </c>
      <c r="R22" s="4">
        <f>IF(R21="",0,IF(R9&gt;UnosPodataka!$M$18,"",VLOOKUP(R9,Annuity!$B$13:$E$32,4,FALSE)+VLOOKUP(R9,Annuity!$B$13:$E$32,3,FALSE)))</f>
        <v>0</v>
      </c>
      <c r="S22" s="4">
        <f>IF(S21="",0,IF(S9&gt;UnosPodataka!$M$18,"",VLOOKUP(S9,Annuity!$B$13:$E$32,4,FALSE)+VLOOKUP(S9,Annuity!$B$13:$E$32,3,FALSE)))</f>
        <v>0</v>
      </c>
      <c r="T22" s="4">
        <f>IF(T21="",0,IF(T9&gt;UnosPodataka!$M$18,"",VLOOKUP(T9,Annuity!$B$13:$E$32,4,FALSE)+VLOOKUP(T9,Annuity!$B$13:$E$32,3,FALSE)))</f>
        <v>0</v>
      </c>
      <c r="U22" s="4"/>
      <c r="V22" s="4"/>
      <c r="W22" s="4"/>
      <c r="X22" s="4"/>
      <c r="Y22" s="4"/>
    </row>
    <row r="23" spans="1:25" x14ac:dyDescent="0.25">
      <c r="A23" s="62" t="s">
        <v>118</v>
      </c>
      <c r="B23" s="62"/>
      <c r="C23" s="62"/>
      <c r="D23" s="62"/>
      <c r="F23" s="4">
        <f>IF(F9&lt;&gt;"",-UnosPodataka!$M$9,"")</f>
        <v>-100</v>
      </c>
      <c r="G23" s="4">
        <f>IF(G9&lt;&gt;"",-UnosPodataka!$M$9,"")</f>
        <v>-100</v>
      </c>
      <c r="H23" s="4">
        <f>IF(H9&lt;&gt;"",-UnosPodataka!$M$9,"")</f>
        <v>-100</v>
      </c>
      <c r="I23" s="4">
        <f>IF(I9&lt;&gt;"",-UnosPodataka!$M$9,"")</f>
        <v>-100</v>
      </c>
      <c r="J23" s="4">
        <f>IF(J9&lt;&gt;"",-UnosPodataka!$M$9,"")</f>
        <v>-100</v>
      </c>
      <c r="K23" s="4">
        <f>IF(K9&lt;&gt;"",-UnosPodataka!$M$9,"")</f>
        <v>-100</v>
      </c>
      <c r="L23" s="4">
        <f>IF(L9&lt;&gt;"",-UnosPodataka!$M$9,"")</f>
        <v>-100</v>
      </c>
      <c r="M23" s="4">
        <f>IF(M9&lt;&gt;"",-UnosPodataka!$M$9,"")</f>
        <v>-100</v>
      </c>
      <c r="N23" s="4">
        <f>IF(N9&lt;&gt;"",-UnosPodataka!$M$9,"")</f>
        <v>-100</v>
      </c>
      <c r="O23" s="4">
        <f>IF(O9&lt;&gt;"",-UnosPodataka!$M$9,"")</f>
        <v>-100</v>
      </c>
      <c r="P23" s="4">
        <f>IF(P9&lt;&gt;"",-UnosPodataka!$M$9,"")</f>
        <v>-100</v>
      </c>
      <c r="Q23" s="4">
        <f>IF(Q9&lt;&gt;"",-UnosPodataka!$M$9,"")</f>
        <v>-100</v>
      </c>
      <c r="R23" s="4">
        <f>IF(R9&lt;&gt;"",-UnosPodataka!$M$9,"")</f>
        <v>-100</v>
      </c>
      <c r="S23" s="4">
        <f>IF(S9&lt;&gt;"",-UnosPodataka!$M$9,"")</f>
        <v>-100</v>
      </c>
      <c r="T23" s="4">
        <f>IF(T9&lt;&gt;"",-UnosPodataka!$M$9,"")</f>
        <v>-100</v>
      </c>
      <c r="U23" s="4" t="str">
        <f>IF(U9&lt;&gt;"",-UnosPodataka!$M$9,"")</f>
        <v/>
      </c>
      <c r="V23" s="4" t="str">
        <f>IF(V9&lt;&gt;"",-UnosPodataka!$M$9,"")</f>
        <v/>
      </c>
      <c r="W23" s="4" t="str">
        <f>IF(W9&lt;&gt;"",-UnosPodataka!$M$9,"")</f>
        <v/>
      </c>
      <c r="X23" s="4" t="str">
        <f>IF(X9&lt;&gt;"",-UnosPodataka!$M$9,"")</f>
        <v/>
      </c>
      <c r="Y23" s="4" t="str">
        <f>IF(Y9&lt;&gt;"",-UnosPodataka!$M$9,"")</f>
        <v/>
      </c>
    </row>
    <row r="24" spans="1:25" x14ac:dyDescent="0.25">
      <c r="A24" s="62" t="s">
        <v>119</v>
      </c>
      <c r="B24" s="62"/>
      <c r="C24" s="62"/>
      <c r="D24" s="62"/>
      <c r="F24" s="4">
        <f>IF(F9&lt;&gt;"",-Investment*UnosPodataka!$M$11,"")</f>
        <v>0</v>
      </c>
      <c r="G24" s="4">
        <f>IF(G9&lt;&gt;"",-Investment*UnosPodataka!$M$11,"")</f>
        <v>0</v>
      </c>
      <c r="H24" s="4">
        <f>IF(H9&lt;&gt;"",-Investment*UnosPodataka!$M$11,"")</f>
        <v>0</v>
      </c>
      <c r="I24" s="4">
        <f>IF(I9&lt;&gt;"",-Investment*UnosPodataka!$M$11,"")</f>
        <v>0</v>
      </c>
      <c r="J24" s="4">
        <f>IF(J9&lt;&gt;"",-Investment*UnosPodataka!$M$11,"")</f>
        <v>0</v>
      </c>
      <c r="K24" s="4">
        <f>IF(K9&lt;&gt;"",-Investment*UnosPodataka!$M$11,"")</f>
        <v>0</v>
      </c>
      <c r="L24" s="4">
        <f>IF(L9&lt;&gt;"",-Investment*UnosPodataka!$M$11,"")</f>
        <v>0</v>
      </c>
      <c r="M24" s="4">
        <f>IF(M9&lt;&gt;"",-Investment*UnosPodataka!$M$11,"")</f>
        <v>0</v>
      </c>
      <c r="N24" s="4">
        <f>IF(N9&lt;&gt;"",-Investment*UnosPodataka!$M$11,"")</f>
        <v>0</v>
      </c>
      <c r="O24" s="4">
        <f>IF(O9&lt;&gt;"",-Investment*UnosPodataka!$M$11,"")</f>
        <v>0</v>
      </c>
      <c r="P24" s="4">
        <f>IF(P9&lt;&gt;"",-Investment*UnosPodataka!$M$11,"")</f>
        <v>0</v>
      </c>
      <c r="Q24" s="4">
        <f>IF(Q9&lt;&gt;"",-Investment*UnosPodataka!$M$11,"")</f>
        <v>0</v>
      </c>
      <c r="R24" s="4">
        <f>IF(R9&lt;&gt;"",-Investment*UnosPodataka!$M$11,"")</f>
        <v>0</v>
      </c>
      <c r="S24" s="4">
        <f>IF(S9&lt;&gt;"",-Investment*UnosPodataka!$M$11,"")</f>
        <v>0</v>
      </c>
      <c r="T24" s="4">
        <f>IF(T9&lt;&gt;"",-Investment*UnosPodataka!$M$11,"")</f>
        <v>0</v>
      </c>
      <c r="U24" s="4" t="str">
        <f>IF(U9&lt;&gt;"",-Investment*UnosPodataka!$M$11,"")</f>
        <v/>
      </c>
      <c r="V24" s="4" t="str">
        <f>IF(V9&lt;&gt;"",-Investment*UnosPodataka!$M$11,"")</f>
        <v/>
      </c>
      <c r="W24" s="4" t="str">
        <f>IF(W9&lt;&gt;"",-Investment*UnosPodataka!$M$11,"")</f>
        <v/>
      </c>
      <c r="X24" s="4" t="str">
        <f>IF(X9&lt;&gt;"",-Investment*UnosPodataka!$M$11,"")</f>
        <v/>
      </c>
      <c r="Y24" s="4" t="str">
        <f>IF(Y9&lt;&gt;"",-Investment*UnosPodataka!$M$11,"")</f>
        <v/>
      </c>
    </row>
    <row r="25" spans="1:25" x14ac:dyDescent="0.25">
      <c r="A25" s="62" t="s">
        <v>12</v>
      </c>
      <c r="B25" s="62"/>
      <c r="C25" s="62"/>
      <c r="D25" s="62"/>
      <c r="F25" s="4" t="str">
        <f>IF(F9&lt;&gt;"","","")</f>
        <v/>
      </c>
      <c r="G25" s="4" t="str">
        <f t="shared" ref="G25:Y25" si="1">IF(G9&lt;&gt;"","","")</f>
        <v/>
      </c>
      <c r="H25" s="4" t="str">
        <f t="shared" si="1"/>
        <v/>
      </c>
      <c r="I25" s="4" t="str">
        <f t="shared" si="1"/>
        <v/>
      </c>
      <c r="J25" s="4" t="str">
        <f t="shared" si="1"/>
        <v/>
      </c>
      <c r="K25" s="4" t="str">
        <f t="shared" si="1"/>
        <v/>
      </c>
      <c r="L25" s="4" t="str">
        <f t="shared" si="1"/>
        <v/>
      </c>
      <c r="M25" s="4" t="str">
        <f t="shared" si="1"/>
        <v/>
      </c>
      <c r="N25" s="4" t="str">
        <f t="shared" si="1"/>
        <v/>
      </c>
      <c r="O25" s="4" t="str">
        <f t="shared" si="1"/>
        <v/>
      </c>
      <c r="P25" s="4" t="str">
        <f t="shared" si="1"/>
        <v/>
      </c>
      <c r="Q25" s="4" t="str">
        <f t="shared" si="1"/>
        <v/>
      </c>
      <c r="R25" s="4" t="str">
        <f t="shared" si="1"/>
        <v/>
      </c>
      <c r="S25" s="4" t="str">
        <f t="shared" si="1"/>
        <v/>
      </c>
      <c r="T25" s="4" t="str">
        <f t="shared" si="1"/>
        <v/>
      </c>
      <c r="U25" s="4" t="str">
        <f t="shared" si="1"/>
        <v/>
      </c>
      <c r="V25" s="4" t="str">
        <f t="shared" si="1"/>
        <v/>
      </c>
      <c r="W25" s="4" t="str">
        <f t="shared" si="1"/>
        <v/>
      </c>
      <c r="X25" s="4" t="str">
        <f t="shared" si="1"/>
        <v/>
      </c>
      <c r="Y25" s="4" t="str">
        <f t="shared" si="1"/>
        <v/>
      </c>
    </row>
    <row r="26" spans="1:25" x14ac:dyDescent="0.25">
      <c r="A26" s="62" t="s">
        <v>172</v>
      </c>
      <c r="B26" s="62"/>
      <c r="C26" s="62"/>
      <c r="D26" s="62"/>
      <c r="F26" s="4">
        <f>IF(F9&lt;&gt;"",-Investment*UnosPodataka!$M$12,"")</f>
        <v>-2200</v>
      </c>
      <c r="G26" s="4">
        <f>IF(G9&lt;&gt;"",-Investment*UnosPodataka!$M$12,"")</f>
        <v>-2200</v>
      </c>
      <c r="H26" s="4">
        <f>IF(H9&lt;&gt;"",-Investment*UnosPodataka!$M$12,"")</f>
        <v>-2200</v>
      </c>
      <c r="I26" s="4">
        <f>IF(I9&lt;&gt;"",-Investment*UnosPodataka!$M$12,"")</f>
        <v>-2200</v>
      </c>
      <c r="J26" s="4">
        <f>IF(J9&lt;&gt;"",-Investment*UnosPodataka!$M$12,"")</f>
        <v>-2200</v>
      </c>
      <c r="K26" s="4">
        <f>IF(K9&lt;&gt;"",-Investment*UnosPodataka!$M$12,"")</f>
        <v>-2200</v>
      </c>
      <c r="L26" s="4">
        <f>IF(L9&lt;&gt;"",-Investment*UnosPodataka!$M$12,"")</f>
        <v>-2200</v>
      </c>
      <c r="M26" s="4">
        <f>IF(M9&lt;&gt;"",-Investment*UnosPodataka!$M$12,"")</f>
        <v>-2200</v>
      </c>
      <c r="N26" s="4">
        <f>IF(N9&lt;&gt;"",-Investment*UnosPodataka!$M$12,"")</f>
        <v>-2200</v>
      </c>
      <c r="O26" s="4">
        <f>IF(O9&lt;&gt;"",-Investment*UnosPodataka!$M$12,"")</f>
        <v>-2200</v>
      </c>
      <c r="P26" s="4">
        <f>IF(P9&lt;&gt;"",-Investment*UnosPodataka!$M$12,"")</f>
        <v>-2200</v>
      </c>
      <c r="Q26" s="4">
        <f>IF(Q9&lt;&gt;"",-Investment*UnosPodataka!$M$12,"")</f>
        <v>-2200</v>
      </c>
      <c r="R26" s="4">
        <f>IF(R9&lt;&gt;"",-Investment*UnosPodataka!$M$12,"")</f>
        <v>-2200</v>
      </c>
      <c r="S26" s="4">
        <f>IF(S9&lt;&gt;"",-Investment*UnosPodataka!$M$12,"")</f>
        <v>-2200</v>
      </c>
      <c r="T26" s="4">
        <f>IF(T9&lt;&gt;"",-Investment*UnosPodataka!$M$12,"")</f>
        <v>-2200</v>
      </c>
      <c r="U26" s="4"/>
      <c r="V26" s="4"/>
      <c r="W26" s="4"/>
      <c r="X26" s="4"/>
      <c r="Y26" s="4"/>
    </row>
    <row r="27" spans="1:25" x14ac:dyDescent="0.25">
      <c r="A27" s="62" t="s">
        <v>127</v>
      </c>
      <c r="B27" s="62"/>
      <c r="C27" s="62"/>
      <c r="D27" s="62"/>
      <c r="F27" s="4">
        <f>IF(F9&lt;&gt;"",-(1-UnosPodataka!$M$10)*FinaIndicators!F15,"")</f>
        <v>-354.2186756207206</v>
      </c>
      <c r="G27" s="4">
        <f>IF(G9&lt;&gt;"",-(1-UnosPodataka!$M$10)*FinaIndicators!G15,"")</f>
        <v>-354.2186756207206</v>
      </c>
      <c r="H27" s="4">
        <f>IF(H9&lt;&gt;"",-(1-UnosPodataka!$M$10)*FinaIndicators!H15,"")</f>
        <v>-354.2186756207206</v>
      </c>
      <c r="I27" s="4">
        <f>IF(I9&lt;&gt;"",-(1-UnosPodataka!$M$10)*FinaIndicators!I15,"")</f>
        <v>-354.2186756207206</v>
      </c>
      <c r="J27" s="4">
        <f>IF(J9&lt;&gt;"",-(1-UnosPodataka!$M$10)*FinaIndicators!J15,"")</f>
        <v>-354.2186756207206</v>
      </c>
      <c r="K27" s="4">
        <f>IF(K9&lt;&gt;"",-(1-UnosPodataka!$M$10)*FinaIndicators!K15,"")</f>
        <v>-354.2186756207206</v>
      </c>
      <c r="L27" s="4">
        <f>IF(L9&lt;&gt;"",-(1-UnosPodataka!$M$10)*FinaIndicators!L15,"")</f>
        <v>-354.2186756207206</v>
      </c>
      <c r="M27" s="4">
        <f>IF(M9&lt;&gt;"",-(1-UnosPodataka!$M$10)*FinaIndicators!M15,"")</f>
        <v>-354.2186756207206</v>
      </c>
      <c r="N27" s="4">
        <f>IF(N9&lt;&gt;"",-(1-UnosPodataka!$M$10)*FinaIndicators!N15,"")</f>
        <v>-354.2186756207206</v>
      </c>
      <c r="O27" s="4">
        <f>IF(O9&lt;&gt;"",-(1-UnosPodataka!$M$10)*FinaIndicators!O15,"")</f>
        <v>-354.2186756207206</v>
      </c>
      <c r="P27" s="4">
        <f>IF(P9&lt;&gt;"",-(1-UnosPodataka!$M$10)*FinaIndicators!P15,"")</f>
        <v>-354.2186756207206</v>
      </c>
      <c r="Q27" s="4">
        <f>IF(Q9&lt;&gt;"",-(1-UnosPodataka!$M$10)*FinaIndicators!Q15,"")</f>
        <v>-354.2186756207206</v>
      </c>
      <c r="R27" s="4">
        <f>IF(R9&lt;&gt;"",-(1-UnosPodataka!$M$10)*FinaIndicators!R15,"")</f>
        <v>-354.2186756207206</v>
      </c>
      <c r="S27" s="4">
        <f>IF(S9&lt;&gt;"",-(1-UnosPodataka!$M$10)*FinaIndicators!S15,"")</f>
        <v>-354.2186756207206</v>
      </c>
      <c r="T27" s="4">
        <f>IF(T9&lt;&gt;"",-(1-UnosPodataka!$M$10)*FinaIndicators!T15,"")</f>
        <v>-354.2186756207206</v>
      </c>
      <c r="U27" s="4" t="str">
        <f>IF(U9&lt;&gt;"",-(1-UnosPodataka!$M$10)*FinaIndicators!U15,"")</f>
        <v/>
      </c>
      <c r="V27" s="4" t="str">
        <f>IF(V9&lt;&gt;"",-(1-UnosPodataka!$M$10)*FinaIndicators!V15,"")</f>
        <v/>
      </c>
      <c r="W27" s="4" t="str">
        <f>IF(W9&lt;&gt;"",-(1-UnosPodataka!$M$10)*FinaIndicators!W15,"")</f>
        <v/>
      </c>
      <c r="X27" s="4" t="str">
        <f>IF(X9&lt;&gt;"",-(1-UnosPodataka!$M$10)*FinaIndicators!X15,"")</f>
        <v/>
      </c>
      <c r="Y27" s="4" t="str">
        <f>IF(Y9&lt;&gt;"",-(1-UnosPodataka!$M$10)*FinaIndicators!Y15,"")</f>
        <v/>
      </c>
    </row>
    <row r="28" spans="1:25" x14ac:dyDescent="0.25">
      <c r="A28" s="69" t="s">
        <v>120</v>
      </c>
      <c r="B28" s="69"/>
      <c r="C28" s="69"/>
      <c r="D28" s="69"/>
      <c r="F28" s="4">
        <f>IF(F9&lt;&gt;"",SUM(F21:F27),"")</f>
        <v>-4510.7419629516717</v>
      </c>
      <c r="G28" s="4">
        <f t="shared" ref="G28:Y28" si="2">IF(G9&lt;&gt;"",SUM(G21:G27),"")</f>
        <v>-4510.7419629516717</v>
      </c>
      <c r="H28" s="4">
        <f t="shared" si="2"/>
        <v>-4510.7419629516717</v>
      </c>
      <c r="I28" s="4">
        <f t="shared" si="2"/>
        <v>-4510.7419629516717</v>
      </c>
      <c r="J28" s="4">
        <f t="shared" si="2"/>
        <v>-4510.7419629516717</v>
      </c>
      <c r="K28" s="4">
        <f t="shared" si="2"/>
        <v>-4510.7419629516717</v>
      </c>
      <c r="L28" s="4">
        <f t="shared" si="2"/>
        <v>-4510.7419629516717</v>
      </c>
      <c r="M28" s="4">
        <f t="shared" si="2"/>
        <v>-4510.7419629516708</v>
      </c>
      <c r="N28" s="4">
        <f t="shared" si="2"/>
        <v>-4510.7419629516717</v>
      </c>
      <c r="O28" s="4">
        <f t="shared" si="2"/>
        <v>-4510.7419629516708</v>
      </c>
      <c r="P28" s="4">
        <f t="shared" si="2"/>
        <v>-4510.7419629516717</v>
      </c>
      <c r="Q28" s="4">
        <f t="shared" si="2"/>
        <v>-4510.7419629516717</v>
      </c>
      <c r="R28" s="4">
        <f t="shared" si="2"/>
        <v>-2654.2186756207207</v>
      </c>
      <c r="S28" s="4">
        <f t="shared" si="2"/>
        <v>-2654.2186756207207</v>
      </c>
      <c r="T28" s="4">
        <f t="shared" si="2"/>
        <v>-2654.2186756207207</v>
      </c>
      <c r="U28" s="4" t="str">
        <f t="shared" si="2"/>
        <v/>
      </c>
      <c r="V28" s="4" t="str">
        <f t="shared" si="2"/>
        <v/>
      </c>
      <c r="W28" s="4" t="str">
        <f t="shared" si="2"/>
        <v/>
      </c>
      <c r="X28" s="4" t="str">
        <f t="shared" si="2"/>
        <v/>
      </c>
      <c r="Y28" s="4" t="str">
        <f t="shared" si="2"/>
        <v/>
      </c>
    </row>
    <row r="30" spans="1:25" x14ac:dyDescent="0.25">
      <c r="A30" t="s">
        <v>173</v>
      </c>
      <c r="E30" s="4">
        <f>-SUM(E11:E13)</f>
        <v>-22000</v>
      </c>
      <c r="F30" s="4">
        <f>+F28-F26-F33</f>
        <v>-2310.7419629516717</v>
      </c>
      <c r="G30" s="4">
        <f t="shared" ref="G30:T30" si="3">+G28-G26-G33</f>
        <v>-2310.7419629516717</v>
      </c>
      <c r="H30" s="4">
        <f t="shared" si="3"/>
        <v>-2310.7419629516717</v>
      </c>
      <c r="I30" s="4">
        <f t="shared" si="3"/>
        <v>-2310.7419629516717</v>
      </c>
      <c r="J30" s="4">
        <f t="shared" si="3"/>
        <v>-2310.7419629516717</v>
      </c>
      <c r="K30" s="4">
        <f t="shared" si="3"/>
        <v>-2310.7419629516717</v>
      </c>
      <c r="L30" s="4">
        <f t="shared" si="3"/>
        <v>-2310.7419629516717</v>
      </c>
      <c r="M30" s="4">
        <f t="shared" si="3"/>
        <v>-2323.4748576647848</v>
      </c>
      <c r="N30" s="4">
        <f t="shared" si="3"/>
        <v>-2342.4367987517599</v>
      </c>
      <c r="O30" s="4">
        <f t="shared" si="3"/>
        <v>-2363.6741727691701</v>
      </c>
      <c r="P30" s="4">
        <f t="shared" si="3"/>
        <v>-2387.460031668671</v>
      </c>
      <c r="Q30" s="4">
        <f t="shared" si="3"/>
        <v>-2414.1001936361113</v>
      </c>
      <c r="R30" s="4">
        <f t="shared" si="3"/>
        <v>-587.41388770869366</v>
      </c>
      <c r="S30" s="4">
        <f t="shared" si="3"/>
        <v>-587.41388770869366</v>
      </c>
      <c r="T30" s="4">
        <f t="shared" si="3"/>
        <v>-587.41388770869366</v>
      </c>
    </row>
    <row r="31" spans="1:25" x14ac:dyDescent="0.25">
      <c r="A31" s="58" t="s">
        <v>174</v>
      </c>
      <c r="B31" s="58"/>
      <c r="C31" s="58"/>
      <c r="D31" s="58"/>
      <c r="F31" s="4">
        <f>IF(F9&lt;&gt;"",F18+F28-F22,"")</f>
        <v>-492.03191941351338</v>
      </c>
      <c r="G31" s="4">
        <f t="shared" ref="G31:T31" si="4">IF(G9&lt;&gt;"",G18+G28-G22,"")</f>
        <v>-434.8491249337992</v>
      </c>
      <c r="H31" s="4">
        <f t="shared" si="4"/>
        <v>-370.80439511651934</v>
      </c>
      <c r="I31" s="4">
        <f t="shared" si="4"/>
        <v>-299.0742977211662</v>
      </c>
      <c r="J31" s="4">
        <f t="shared" si="4"/>
        <v>-218.73658863837045</v>
      </c>
      <c r="K31" s="4">
        <f t="shared" si="4"/>
        <v>-128.75835446563917</v>
      </c>
      <c r="L31" s="4">
        <f t="shared" si="4"/>
        <v>-27.982732192180038</v>
      </c>
      <c r="M31" s="4">
        <f t="shared" si="4"/>
        <v>84.885964754094857</v>
      </c>
      <c r="N31" s="4">
        <f t="shared" si="4"/>
        <v>211.29890533392108</v>
      </c>
      <c r="O31" s="4">
        <f t="shared" si="4"/>
        <v>352.88139878332822</v>
      </c>
      <c r="P31" s="4">
        <f t="shared" si="4"/>
        <v>511.45379144666254</v>
      </c>
      <c r="Q31" s="4">
        <f t="shared" si="4"/>
        <v>689.05487122959767</v>
      </c>
      <c r="R31" s="4">
        <f t="shared" si="4"/>
        <v>887.96808058648639</v>
      </c>
      <c r="S31" s="4">
        <f t="shared" si="4"/>
        <v>887.96808058648639</v>
      </c>
      <c r="T31" s="4">
        <f t="shared" si="4"/>
        <v>887.96808058648639</v>
      </c>
      <c r="U31" s="4" t="str">
        <f t="shared" ref="U31:Y31" si="5">IF(U9&lt;&gt;"",U18+U28,"")</f>
        <v/>
      </c>
      <c r="V31" s="4" t="str">
        <f t="shared" si="5"/>
        <v/>
      </c>
      <c r="W31" s="4" t="str">
        <f t="shared" si="5"/>
        <v/>
      </c>
      <c r="X31" s="4" t="str">
        <f t="shared" si="5"/>
        <v/>
      </c>
      <c r="Y31" s="4" t="str">
        <f t="shared" si="5"/>
        <v/>
      </c>
    </row>
    <row r="32" spans="1:25" x14ac:dyDescent="0.25">
      <c r="A32" s="68"/>
      <c r="B32" s="68"/>
      <c r="C32" s="68"/>
      <c r="D32" s="68"/>
    </row>
    <row r="33" spans="1:25" x14ac:dyDescent="0.25">
      <c r="A33" s="62" t="s">
        <v>121</v>
      </c>
      <c r="B33" s="62"/>
      <c r="C33" s="62"/>
      <c r="D33" s="62"/>
      <c r="F33" s="4">
        <f>IF(F9&lt;&gt;"",IF(F31&gt;0,F31*VAT,0),"")</f>
        <v>0</v>
      </c>
      <c r="G33" s="4">
        <f t="shared" ref="G33:T33" si="6">IF(G9&lt;&gt;"",IF(G31&gt;0,G31*VAT,0),"")</f>
        <v>0</v>
      </c>
      <c r="H33" s="4">
        <f t="shared" si="6"/>
        <v>0</v>
      </c>
      <c r="I33" s="4">
        <f t="shared" si="6"/>
        <v>0</v>
      </c>
      <c r="J33" s="4">
        <f t="shared" si="6"/>
        <v>0</v>
      </c>
      <c r="K33" s="4">
        <f t="shared" si="6"/>
        <v>0</v>
      </c>
      <c r="L33" s="4">
        <f t="shared" si="6"/>
        <v>0</v>
      </c>
      <c r="M33" s="4">
        <f t="shared" si="6"/>
        <v>12.732894713114229</v>
      </c>
      <c r="N33" s="4">
        <f t="shared" si="6"/>
        <v>31.69483580008816</v>
      </c>
      <c r="O33" s="4">
        <f t="shared" si="6"/>
        <v>52.932209817499235</v>
      </c>
      <c r="P33" s="4">
        <f t="shared" si="6"/>
        <v>76.718068716999383</v>
      </c>
      <c r="Q33" s="4">
        <f t="shared" si="6"/>
        <v>103.35823068443965</v>
      </c>
      <c r="R33" s="4">
        <f t="shared" si="6"/>
        <v>133.19521208797295</v>
      </c>
      <c r="S33" s="4">
        <f t="shared" si="6"/>
        <v>133.19521208797295</v>
      </c>
      <c r="T33" s="4">
        <f t="shared" si="6"/>
        <v>133.19521208797295</v>
      </c>
      <c r="U33" s="4" t="str">
        <f>IF(U9&lt;&gt;"",IF(#REF!&gt;0,#REF!*VAT,0),"")</f>
        <v/>
      </c>
      <c r="V33" s="4" t="str">
        <f>IF(V9&lt;&gt;"",IF(#REF!&gt;0,#REF!*VAT,0),"")</f>
        <v/>
      </c>
      <c r="W33" s="4" t="str">
        <f>IF(W9&lt;&gt;"",IF(#REF!&gt;0,#REF!*VAT,0),"")</f>
        <v/>
      </c>
      <c r="X33" s="4" t="str">
        <f>IF(X9&lt;&gt;"",IF(#REF!&gt;0,#REF!*VAT,0),"")</f>
        <v/>
      </c>
      <c r="Y33" s="4" t="str">
        <f>IF(Y9&lt;&gt;"",IF(#REF!&gt;0,#REF!*VAT,0),"")</f>
        <v/>
      </c>
    </row>
    <row r="34" spans="1:25" x14ac:dyDescent="0.25">
      <c r="A34" s="58" t="s">
        <v>122</v>
      </c>
      <c r="B34" s="58"/>
      <c r="C34" s="58"/>
      <c r="D34" s="58"/>
      <c r="E34" s="4"/>
      <c r="F34" s="4">
        <f>IF(F9&lt;&gt;"",F31-F33,"")</f>
        <v>-492.03191941351338</v>
      </c>
      <c r="G34" s="4">
        <f t="shared" ref="G34:T34" si="7">IF(G9&lt;&gt;"",G31-G33,"")</f>
        <v>-434.8491249337992</v>
      </c>
      <c r="H34" s="4">
        <f t="shared" si="7"/>
        <v>-370.80439511651934</v>
      </c>
      <c r="I34" s="4">
        <f t="shared" si="7"/>
        <v>-299.0742977211662</v>
      </c>
      <c r="J34" s="4">
        <f t="shared" si="7"/>
        <v>-218.73658863837045</v>
      </c>
      <c r="K34" s="4">
        <f t="shared" si="7"/>
        <v>-128.75835446563917</v>
      </c>
      <c r="L34" s="4">
        <f t="shared" si="7"/>
        <v>-27.982732192180038</v>
      </c>
      <c r="M34" s="4">
        <f t="shared" si="7"/>
        <v>72.153070040980623</v>
      </c>
      <c r="N34" s="4">
        <f t="shared" si="7"/>
        <v>179.60406953383293</v>
      </c>
      <c r="O34" s="4">
        <f t="shared" si="7"/>
        <v>299.94918896582897</v>
      </c>
      <c r="P34" s="4">
        <f t="shared" si="7"/>
        <v>434.73572272966317</v>
      </c>
      <c r="Q34" s="4">
        <f t="shared" si="7"/>
        <v>585.69664054515806</v>
      </c>
      <c r="R34" s="4">
        <f t="shared" si="7"/>
        <v>754.77286849851339</v>
      </c>
      <c r="S34" s="4">
        <f t="shared" si="7"/>
        <v>754.77286849851339</v>
      </c>
      <c r="T34" s="4">
        <f t="shared" si="7"/>
        <v>754.77286849851339</v>
      </c>
      <c r="U34" s="4" t="str">
        <f>IF(U9&lt;&gt;"",#REF!-U33,"")</f>
        <v/>
      </c>
      <c r="V34" s="4" t="str">
        <f>IF(V9&lt;&gt;"",#REF!-V33,"")</f>
        <v/>
      </c>
      <c r="W34" s="4" t="str">
        <f>IF(W9&lt;&gt;"",#REF!-W33,"")</f>
        <v/>
      </c>
      <c r="X34" s="4" t="str">
        <f>IF(X9&lt;&gt;"",#REF!-X33,"")</f>
        <v/>
      </c>
      <c r="Y34" s="4" t="str">
        <f>IF(Y9&lt;&gt;"",#REF!-Y33,"")</f>
        <v/>
      </c>
    </row>
    <row r="36" spans="1:25" x14ac:dyDescent="0.25">
      <c r="A36" s="41" t="s">
        <v>183</v>
      </c>
      <c r="E36" s="4">
        <f>-SUM(E11:E13)</f>
        <v>-22000</v>
      </c>
      <c r="F36" s="4">
        <f>+F18+F30-F33</f>
        <v>1231.4447932555354</v>
      </c>
      <c r="G36" s="4">
        <f t="shared" ref="G36:T36" si="8">+G18+G30-G33</f>
        <v>1231.4447932555354</v>
      </c>
      <c r="H36" s="4">
        <f t="shared" si="8"/>
        <v>1231.4447932555354</v>
      </c>
      <c r="I36" s="4">
        <f t="shared" si="8"/>
        <v>1231.4447932555354</v>
      </c>
      <c r="J36" s="4">
        <f t="shared" si="8"/>
        <v>1231.4447932555354</v>
      </c>
      <c r="K36" s="4">
        <f t="shared" si="8"/>
        <v>1231.4447932555354</v>
      </c>
      <c r="L36" s="4">
        <f t="shared" si="8"/>
        <v>1231.4447932555354</v>
      </c>
      <c r="M36" s="4">
        <f t="shared" si="8"/>
        <v>1205.9790038293079</v>
      </c>
      <c r="N36" s="4">
        <f t="shared" si="8"/>
        <v>1168.055121655359</v>
      </c>
      <c r="O36" s="4">
        <f t="shared" si="8"/>
        <v>1125.5803736205378</v>
      </c>
      <c r="P36" s="4">
        <f t="shared" si="8"/>
        <v>1078.0086558215366</v>
      </c>
      <c r="Q36" s="4">
        <f t="shared" si="8"/>
        <v>1024.7283318866562</v>
      </c>
      <c r="R36" s="4">
        <f t="shared" si="8"/>
        <v>2821.5776564105404</v>
      </c>
      <c r="S36" s="4">
        <f t="shared" si="8"/>
        <v>2821.5776564105404</v>
      </c>
      <c r="T36" s="4">
        <f t="shared" si="8"/>
        <v>2821.5776564105404</v>
      </c>
    </row>
    <row r="37" spans="1:25" x14ac:dyDescent="0.25">
      <c r="A37" s="41" t="s">
        <v>184</v>
      </c>
      <c r="E37" s="4">
        <f>+E36</f>
        <v>-22000</v>
      </c>
      <c r="F37" s="4">
        <f>+E37+F36</f>
        <v>-20768.555206744466</v>
      </c>
      <c r="G37" s="4">
        <f t="shared" ref="G37:T37" si="9">+F37+G36</f>
        <v>-19537.110413488932</v>
      </c>
      <c r="H37" s="4">
        <f t="shared" si="9"/>
        <v>-18305.665620233398</v>
      </c>
      <c r="I37" s="4">
        <f t="shared" si="9"/>
        <v>-17074.220826977864</v>
      </c>
      <c r="J37" s="4">
        <f t="shared" si="9"/>
        <v>-15842.776033722328</v>
      </c>
      <c r="K37" s="4">
        <f t="shared" si="9"/>
        <v>-14611.331240466792</v>
      </c>
      <c r="L37" s="4">
        <f t="shared" si="9"/>
        <v>-13379.886447211256</v>
      </c>
      <c r="M37" s="4">
        <f t="shared" si="9"/>
        <v>-12173.907443381948</v>
      </c>
      <c r="N37" s="4">
        <f t="shared" si="9"/>
        <v>-11005.852321726588</v>
      </c>
      <c r="O37" s="4">
        <f t="shared" si="9"/>
        <v>-9880.2719481060503</v>
      </c>
      <c r="P37" s="4">
        <f t="shared" si="9"/>
        <v>-8802.2632922845132</v>
      </c>
      <c r="Q37" s="4">
        <f t="shared" si="9"/>
        <v>-7777.5349603978575</v>
      </c>
      <c r="R37" s="4">
        <f t="shared" si="9"/>
        <v>-4955.9573039873176</v>
      </c>
      <c r="S37" s="4">
        <f t="shared" si="9"/>
        <v>-2134.3796475767772</v>
      </c>
      <c r="T37" s="4">
        <f t="shared" si="9"/>
        <v>687.1980088337632</v>
      </c>
    </row>
    <row r="38" spans="1:25" x14ac:dyDescent="0.25">
      <c r="A38" s="21"/>
    </row>
    <row r="39" spans="1:25" x14ac:dyDescent="0.25">
      <c r="A39" s="41" t="s">
        <v>65</v>
      </c>
      <c r="E39" s="10">
        <f>+PomTab1!L25</f>
        <v>6.8027272727272728E-2</v>
      </c>
    </row>
    <row r="40" spans="1:25" x14ac:dyDescent="0.25">
      <c r="A40" s="41" t="s">
        <v>185</v>
      </c>
      <c r="E40" s="4">
        <f>IF(E9&lt;&gt;"",E36*(1+$E$39)^-E9,"")</f>
        <v>-22000</v>
      </c>
      <c r="F40" s="4">
        <f>IF(F9&lt;&gt;"",F36*(1+$E$39)^-F9,"")</f>
        <v>1153.008752399146</v>
      </c>
      <c r="G40" s="4">
        <f t="shared" ref="G40:T40" si="10">IF(G9&lt;&gt;"",G36*(1+$E$39)^-G9,"")</f>
        <v>1079.568641964421</v>
      </c>
      <c r="H40" s="4">
        <f t="shared" si="10"/>
        <v>1010.8062495517332</v>
      </c>
      <c r="I40" s="4">
        <f t="shared" si="10"/>
        <v>946.42363108441793</v>
      </c>
      <c r="J40" s="4">
        <f t="shared" si="10"/>
        <v>886.14181983168578</v>
      </c>
      <c r="K40" s="4">
        <f t="shared" si="10"/>
        <v>829.69961765945231</v>
      </c>
      <c r="L40" s="4">
        <f t="shared" si="10"/>
        <v>776.85246327161997</v>
      </c>
      <c r="M40" s="4">
        <f t="shared" si="10"/>
        <v>712.32962132900968</v>
      </c>
      <c r="N40" s="4">
        <f t="shared" si="10"/>
        <v>645.98473095561474</v>
      </c>
      <c r="O40" s="4">
        <f t="shared" si="10"/>
        <v>582.8450115111234</v>
      </c>
      <c r="P40" s="4">
        <f t="shared" si="10"/>
        <v>522.65664593897077</v>
      </c>
      <c r="Q40" s="4">
        <f t="shared" si="10"/>
        <v>465.17956702951392</v>
      </c>
      <c r="R40" s="4">
        <f t="shared" si="10"/>
        <v>1199.2826507305292</v>
      </c>
      <c r="S40" s="4">
        <f t="shared" si="10"/>
        <v>1122.8951557277069</v>
      </c>
      <c r="T40" s="4">
        <f t="shared" si="10"/>
        <v>1051.3731104078697</v>
      </c>
    </row>
    <row r="41" spans="1:25" x14ac:dyDescent="0.25">
      <c r="A41" s="41" t="s">
        <v>186</v>
      </c>
      <c r="E41" s="4">
        <f>+E40</f>
        <v>-22000</v>
      </c>
      <c r="F41" s="4">
        <f>+E41+F40</f>
        <v>-20846.991247600854</v>
      </c>
      <c r="G41" s="4">
        <f t="shared" ref="G41:T41" si="11">+F41+G40</f>
        <v>-19767.422605636431</v>
      </c>
      <c r="H41" s="4">
        <f t="shared" si="11"/>
        <v>-18756.616356084698</v>
      </c>
      <c r="I41" s="4">
        <f t="shared" si="11"/>
        <v>-17810.192725000281</v>
      </c>
      <c r="J41" s="4">
        <f t="shared" si="11"/>
        <v>-16924.050905168595</v>
      </c>
      <c r="K41" s="4">
        <f t="shared" si="11"/>
        <v>-16094.351287509142</v>
      </c>
      <c r="L41" s="4">
        <f t="shared" si="11"/>
        <v>-15317.498824237522</v>
      </c>
      <c r="M41" s="4">
        <f t="shared" si="11"/>
        <v>-14605.169202908512</v>
      </c>
      <c r="N41" s="4">
        <f t="shared" si="11"/>
        <v>-13959.184471952896</v>
      </c>
      <c r="O41" s="4">
        <f t="shared" si="11"/>
        <v>-13376.339460441774</v>
      </c>
      <c r="P41" s="4">
        <f t="shared" si="11"/>
        <v>-12853.682814502803</v>
      </c>
      <c r="Q41" s="4">
        <f t="shared" si="11"/>
        <v>-12388.503247473289</v>
      </c>
      <c r="R41" s="4">
        <f t="shared" si="11"/>
        <v>-11189.22059674276</v>
      </c>
      <c r="S41" s="4">
        <f t="shared" si="11"/>
        <v>-10066.325441015053</v>
      </c>
      <c r="T41" s="4">
        <f t="shared" si="11"/>
        <v>-9014.9523306071824</v>
      </c>
    </row>
    <row r="42" spans="1:25" x14ac:dyDescent="0.25">
      <c r="A42" s="41"/>
    </row>
    <row r="43" spans="1:25" x14ac:dyDescent="0.25">
      <c r="A43" s="42" t="s">
        <v>187</v>
      </c>
      <c r="B43" s="44"/>
      <c r="C43" s="44"/>
      <c r="D43" s="44"/>
      <c r="E43" s="43">
        <f>+NPV(E39,E36:T36)</f>
        <v>-8440.7510564659569</v>
      </c>
      <c r="F43" s="44"/>
    </row>
    <row r="44" spans="1:25" x14ac:dyDescent="0.25">
      <c r="A44" s="42" t="s">
        <v>188</v>
      </c>
      <c r="B44" s="44"/>
      <c r="C44" s="44"/>
      <c r="D44" s="44"/>
      <c r="E44" s="45">
        <f>+IRR(E36:T36,10)</f>
        <v>3.3646500506345767E-3</v>
      </c>
      <c r="F44" s="44"/>
    </row>
    <row r="45" spans="1:25" x14ac:dyDescent="0.25">
      <c r="A45" s="42" t="s">
        <v>189</v>
      </c>
      <c r="B45" s="44"/>
      <c r="C45" s="44"/>
      <c r="D45" s="44"/>
      <c r="E45" s="43" cm="1">
        <f t="array" ref="E45">+NPV(E39,E18:T18/-NPV(E39,E30:T30))</f>
        <v>0.78932653355912819</v>
      </c>
      <c r="F45" s="44"/>
    </row>
    <row r="46" spans="1:25" x14ac:dyDescent="0.25">
      <c r="A46" s="42" t="s">
        <v>190</v>
      </c>
      <c r="B46" s="44"/>
      <c r="C46" s="44"/>
      <c r="D46" s="44"/>
      <c r="E46" s="44" cm="1">
        <f t="array" aca="1" ref="E46" ca="1">+LOOKUP(INDEX(E37:T37,MATCH(TRUE,E37:T37&gt;0,0)),E37:T37,E9:Y9)</f>
        <v>15</v>
      </c>
      <c r="F46" s="44" t="s">
        <v>192</v>
      </c>
    </row>
    <row r="47" spans="1:25" x14ac:dyDescent="0.25">
      <c r="A47" s="42" t="s">
        <v>191</v>
      </c>
      <c r="B47" s="44"/>
      <c r="C47" s="44"/>
      <c r="D47" s="44"/>
      <c r="E47" s="44" t="e" cm="1">
        <f t="array" ref="E47">+LOOKUP(INDEX(E41:T41,MATCH(TRUE,E41:T41&gt;0,0)),E41:T41,E9:T9)</f>
        <v>#N/A</v>
      </c>
      <c r="F47" s="44" t="s">
        <v>192</v>
      </c>
    </row>
    <row r="50" spans="1:26" x14ac:dyDescent="0.25">
      <c r="A50" s="37" t="s">
        <v>175</v>
      </c>
      <c r="B50" s="37"/>
      <c r="C50" s="37"/>
      <c r="D50" s="37"/>
      <c r="E50" s="4">
        <f>IF(E9&lt;&gt;"",E30,"")</f>
        <v>-22000</v>
      </c>
      <c r="F50" s="4">
        <f>IF(F9&lt;&gt;"",F30,"")</f>
        <v>-2310.7419629516717</v>
      </c>
      <c r="G50" s="4">
        <f t="shared" ref="G50:T50" si="12">IF(G9&lt;&gt;"",G30,"")</f>
        <v>-2310.7419629516717</v>
      </c>
      <c r="H50" s="4">
        <f t="shared" si="12"/>
        <v>-2310.7419629516717</v>
      </c>
      <c r="I50" s="4">
        <f t="shared" si="12"/>
        <v>-2310.7419629516717</v>
      </c>
      <c r="J50" s="4">
        <f t="shared" si="12"/>
        <v>-2310.7419629516717</v>
      </c>
      <c r="K50" s="4">
        <f t="shared" si="12"/>
        <v>-2310.7419629516717</v>
      </c>
      <c r="L50" s="4">
        <f t="shared" si="12"/>
        <v>-2310.7419629516717</v>
      </c>
      <c r="M50" s="4">
        <f t="shared" si="12"/>
        <v>-2323.4748576647848</v>
      </c>
      <c r="N50" s="4">
        <f t="shared" si="12"/>
        <v>-2342.4367987517599</v>
      </c>
      <c r="O50" s="4">
        <f t="shared" si="12"/>
        <v>-2363.6741727691701</v>
      </c>
      <c r="P50" s="4">
        <f t="shared" si="12"/>
        <v>-2387.460031668671</v>
      </c>
      <c r="Q50" s="4">
        <f t="shared" si="12"/>
        <v>-2414.1001936361113</v>
      </c>
      <c r="R50" s="4">
        <f t="shared" si="12"/>
        <v>-587.41388770869366</v>
      </c>
      <c r="S50" s="4">
        <f t="shared" si="12"/>
        <v>-587.41388770869366</v>
      </c>
      <c r="T50" s="4">
        <f t="shared" si="12"/>
        <v>-587.41388770869366</v>
      </c>
      <c r="U50" s="4" t="str">
        <f>IF(U9&lt;&gt;"",U28,"")</f>
        <v/>
      </c>
      <c r="V50" s="4" t="str">
        <f>IF(V9&lt;&gt;"",V28,"")</f>
        <v/>
      </c>
      <c r="W50" s="4" t="str">
        <f>IF(W9&lt;&gt;"",W28,"")</f>
        <v/>
      </c>
      <c r="X50" s="4" t="str">
        <f>IF(X9&lt;&gt;"",X28,"")</f>
        <v/>
      </c>
      <c r="Y50" s="4" t="str">
        <f>IF(Y9&lt;&gt;"",Y28,"")</f>
        <v/>
      </c>
      <c r="Z50" s="4"/>
    </row>
    <row r="51" spans="1:26" x14ac:dyDescent="0.25">
      <c r="A51" s="37" t="s">
        <v>176</v>
      </c>
      <c r="B51" s="37"/>
      <c r="C51" s="37"/>
      <c r="D51" s="37"/>
      <c r="E51" s="4">
        <f t="shared" ref="E51:F51" si="13">IF(E9&lt;&gt;"",E50*(1+$E$39)^-E9,"")</f>
        <v>-22000</v>
      </c>
      <c r="F51" s="4">
        <f t="shared" si="13"/>
        <v>-2163.560820924592</v>
      </c>
      <c r="G51" s="4">
        <f>IF(G9&lt;&gt;"",G50*(1+$E$39)^-G9,"")</f>
        <v>-2025.7542819106179</v>
      </c>
      <c r="H51" s="4">
        <f t="shared" ref="H51:T51" si="14">IF(H9&lt;&gt;"",H50*(1+$E$39)^-H9,"")</f>
        <v>-1896.7252369293253</v>
      </c>
      <c r="I51" s="4">
        <f t="shared" si="14"/>
        <v>-1775.9146094517998</v>
      </c>
      <c r="J51" s="4">
        <f t="shared" si="14"/>
        <v>-1662.7989329494303</v>
      </c>
      <c r="K51" s="4">
        <f t="shared" si="14"/>
        <v>-1556.8880827390972</v>
      </c>
      <c r="L51" s="4">
        <f t="shared" si="14"/>
        <v>-1457.7231522969334</v>
      </c>
      <c r="M51" s="4">
        <f t="shared" si="14"/>
        <v>-1372.39534044333</v>
      </c>
      <c r="N51" s="4">
        <f t="shared" si="14"/>
        <v>-1295.4683192328475</v>
      </c>
      <c r="O51" s="4">
        <f t="shared" si="14"/>
        <v>-1223.9514233930979</v>
      </c>
      <c r="P51" s="4">
        <f t="shared" si="14"/>
        <v>-1157.5248915922177</v>
      </c>
      <c r="Q51" s="4">
        <f t="shared" si="14"/>
        <v>-1095.8905379086605</v>
      </c>
      <c r="R51" s="4">
        <f t="shared" si="14"/>
        <v>-249.67424969738499</v>
      </c>
      <c r="S51" s="4">
        <f t="shared" si="14"/>
        <v>-233.77141770905021</v>
      </c>
      <c r="T51" s="4">
        <f t="shared" si="14"/>
        <v>-218.88150581782486</v>
      </c>
      <c r="U51" s="4" t="str">
        <f>IF(U9&lt;&gt;"",U50*(1+UnosPodataka!AB15)^-FinaIndicators!U9,"")</f>
        <v/>
      </c>
      <c r="V51" s="4" t="str">
        <f>IF(V9&lt;&gt;"",V50*(1+UnosPodataka!AC15)^-FinaIndicators!V9,"")</f>
        <v/>
      </c>
      <c r="W51" s="4" t="str">
        <f>IF(W9&lt;&gt;"",W50*(1+UnosPodataka!AD15)^-FinaIndicators!W9,"")</f>
        <v/>
      </c>
      <c r="X51" s="4" t="str">
        <f>IF(X9&lt;&gt;"",X50*(1+UnosPodataka!AE15)^-FinaIndicators!X9,"")</f>
        <v/>
      </c>
      <c r="Y51" s="4" t="str">
        <f>IF(Y9&lt;&gt;"",Y50*(1+UnosPodataka!AF15)^-FinaIndicators!Y9,"")</f>
        <v/>
      </c>
      <c r="Z51" s="4"/>
    </row>
    <row r="52" spans="1:26" x14ac:dyDescent="0.25">
      <c r="A52" s="37" t="s">
        <v>177</v>
      </c>
      <c r="B52" s="37"/>
      <c r="C52" s="37"/>
      <c r="D52" s="37"/>
      <c r="E52" s="4">
        <f>+E51</f>
        <v>-22000</v>
      </c>
      <c r="F52" s="4">
        <f>+E52+F51</f>
        <v>-24163.560820924591</v>
      </c>
      <c r="G52" s="4">
        <f t="shared" ref="G52:T52" si="15">+F52+G51</f>
        <v>-26189.315102835208</v>
      </c>
      <c r="H52" s="4">
        <f t="shared" si="15"/>
        <v>-28086.040339764531</v>
      </c>
      <c r="I52" s="4">
        <f t="shared" si="15"/>
        <v>-29861.954949216331</v>
      </c>
      <c r="J52" s="4">
        <f t="shared" si="15"/>
        <v>-31524.753882165762</v>
      </c>
      <c r="K52" s="4">
        <f t="shared" si="15"/>
        <v>-33081.641964904862</v>
      </c>
      <c r="L52" s="4">
        <f t="shared" si="15"/>
        <v>-34539.365117201793</v>
      </c>
      <c r="M52" s="4">
        <f t="shared" si="15"/>
        <v>-35911.760457645119</v>
      </c>
      <c r="N52" s="4">
        <f t="shared" si="15"/>
        <v>-37207.228776877964</v>
      </c>
      <c r="O52" s="4">
        <f t="shared" si="15"/>
        <v>-38431.180200271061</v>
      </c>
      <c r="P52" s="4">
        <f t="shared" si="15"/>
        <v>-39588.705091863281</v>
      </c>
      <c r="Q52" s="4">
        <f t="shared" si="15"/>
        <v>-40684.595629771939</v>
      </c>
      <c r="R52" s="4">
        <f t="shared" si="15"/>
        <v>-40934.269879469321</v>
      </c>
      <c r="S52" s="4">
        <f t="shared" si="15"/>
        <v>-41168.041297178373</v>
      </c>
      <c r="T52" s="4">
        <f t="shared" si="15"/>
        <v>-41386.922802996196</v>
      </c>
      <c r="U52" s="4" t="str">
        <f>IF(U9&lt;&gt;"",T52+U51,"")</f>
        <v/>
      </c>
      <c r="V52" s="4" t="str">
        <f>IF(V9&lt;&gt;"",U52+V51,"")</f>
        <v/>
      </c>
      <c r="W52" s="4" t="str">
        <f>IF(W9&lt;&gt;"",V52+W51,"")</f>
        <v/>
      </c>
      <c r="X52" s="4" t="str">
        <f>IF(X9&lt;&gt;"",W52+X51,"")</f>
        <v/>
      </c>
      <c r="Y52" s="4" t="str">
        <f>IF(Y9&lt;&gt;"",X52+Y51,"")</f>
        <v/>
      </c>
    </row>
    <row r="53" spans="1:26" x14ac:dyDescent="0.25">
      <c r="A53" s="37" t="s">
        <v>178</v>
      </c>
      <c r="B53" s="37"/>
      <c r="C53" s="37"/>
      <c r="D53" s="37"/>
      <c r="F53" s="4">
        <f t="shared" ref="F53:Y53" si="16">IF(F9&lt;&gt;"",F18,"")</f>
        <v>3542.1867562072071</v>
      </c>
      <c r="G53" s="4">
        <f t="shared" si="16"/>
        <v>3542.1867562072071</v>
      </c>
      <c r="H53" s="4">
        <f t="shared" si="16"/>
        <v>3542.1867562072071</v>
      </c>
      <c r="I53" s="4">
        <f t="shared" si="16"/>
        <v>3542.1867562072071</v>
      </c>
      <c r="J53" s="4">
        <f t="shared" si="16"/>
        <v>3542.1867562072071</v>
      </c>
      <c r="K53" s="4">
        <f t="shared" si="16"/>
        <v>3542.1867562072071</v>
      </c>
      <c r="L53" s="4">
        <f t="shared" si="16"/>
        <v>3542.1867562072071</v>
      </c>
      <c r="M53" s="4">
        <f t="shared" si="16"/>
        <v>3542.1867562072071</v>
      </c>
      <c r="N53" s="4">
        <f t="shared" si="16"/>
        <v>3542.1867562072071</v>
      </c>
      <c r="O53" s="4">
        <f t="shared" si="16"/>
        <v>3542.1867562072071</v>
      </c>
      <c r="P53" s="4">
        <f t="shared" si="16"/>
        <v>3542.1867562072071</v>
      </c>
      <c r="Q53" s="4">
        <f t="shared" si="16"/>
        <v>3542.1867562072071</v>
      </c>
      <c r="R53" s="4">
        <f t="shared" si="16"/>
        <v>3542.1867562072071</v>
      </c>
      <c r="S53" s="4">
        <f t="shared" si="16"/>
        <v>3542.1867562072071</v>
      </c>
      <c r="T53" s="4">
        <f t="shared" si="16"/>
        <v>3542.1867562072071</v>
      </c>
      <c r="U53" s="4" t="str">
        <f t="shared" si="16"/>
        <v/>
      </c>
      <c r="V53" s="4" t="str">
        <f t="shared" si="16"/>
        <v/>
      </c>
      <c r="W53" s="4" t="str">
        <f t="shared" si="16"/>
        <v/>
      </c>
      <c r="X53" s="4" t="str">
        <f t="shared" si="16"/>
        <v/>
      </c>
      <c r="Y53" s="4" t="str">
        <f t="shared" si="16"/>
        <v/>
      </c>
    </row>
    <row r="54" spans="1:26" x14ac:dyDescent="0.25">
      <c r="A54" s="37" t="s">
        <v>179</v>
      </c>
      <c r="B54" s="37"/>
      <c r="C54" s="37"/>
      <c r="D54" s="37"/>
      <c r="F54" s="4">
        <f>IF(F9&lt;&gt;"",F53*(1+$E$39)^-F9,"")</f>
        <v>3316.569573323738</v>
      </c>
      <c r="G54" s="4">
        <f t="shared" ref="G54:T54" si="17">IF(G9&lt;&gt;"",G53*(1+$E$39)^-G9,"")</f>
        <v>3105.3229238750387</v>
      </c>
      <c r="H54" s="4">
        <f t="shared" si="17"/>
        <v>2907.5314864810584</v>
      </c>
      <c r="I54" s="4">
        <f t="shared" si="17"/>
        <v>2722.3382405362177</v>
      </c>
      <c r="J54" s="4">
        <f t="shared" si="17"/>
        <v>2548.9407527811163</v>
      </c>
      <c r="K54" s="4">
        <f t="shared" si="17"/>
        <v>2386.5877003985493</v>
      </c>
      <c r="L54" s="4">
        <f t="shared" si="17"/>
        <v>2234.5756155685535</v>
      </c>
      <c r="M54" s="4">
        <f t="shared" si="17"/>
        <v>2092.2458373768195</v>
      </c>
      <c r="N54" s="4">
        <f t="shared" si="17"/>
        <v>1958.9816578692248</v>
      </c>
      <c r="O54" s="4">
        <f t="shared" si="17"/>
        <v>1834.2056498864918</v>
      </c>
      <c r="P54" s="4">
        <f t="shared" si="17"/>
        <v>1717.3771651006023</v>
      </c>
      <c r="Q54" s="4">
        <f t="shared" si="17"/>
        <v>1607.9899914120874</v>
      </c>
      <c r="R54" s="4">
        <f t="shared" si="17"/>
        <v>1505.5701595578048</v>
      </c>
      <c r="S54" s="4">
        <f t="shared" si="17"/>
        <v>1409.673889425351</v>
      </c>
      <c r="T54" s="4">
        <f t="shared" si="17"/>
        <v>1319.8856671755793</v>
      </c>
      <c r="U54" s="4" t="str">
        <f>IF(U9&lt;&gt;"",U53*(1+UnosPodataka!AB15)^-U9,"")</f>
        <v/>
      </c>
      <c r="V54" s="4" t="str">
        <f>IF(V9&lt;&gt;"",V53*(1+UnosPodataka!AC15)^-V9,"")</f>
        <v/>
      </c>
      <c r="W54" s="4" t="str">
        <f>IF(W9&lt;&gt;"",W53*(1+UnosPodataka!AD15)^-W9,"")</f>
        <v/>
      </c>
      <c r="X54" s="4" t="str">
        <f>IF(X9&lt;&gt;"",X53*(1+UnosPodataka!AE15)^-X9,"")</f>
        <v/>
      </c>
      <c r="Y54" s="4" t="str">
        <f>IF(Y9&lt;&gt;"",Y53*(1+UnosPodataka!AF15)^-Y9,"")</f>
        <v/>
      </c>
    </row>
    <row r="55" spans="1:26" x14ac:dyDescent="0.25">
      <c r="A55" s="37" t="s">
        <v>180</v>
      </c>
      <c r="B55" s="37"/>
      <c r="C55" s="37"/>
      <c r="D55" s="37"/>
      <c r="F55" s="4">
        <f t="shared" ref="F55:Y55" si="18">IF(F9&lt;&gt;"",E55+F54,"")</f>
        <v>3316.569573323738</v>
      </c>
      <c r="G55" s="4">
        <f t="shared" si="18"/>
        <v>6421.8924971987763</v>
      </c>
      <c r="H55" s="4">
        <f t="shared" si="18"/>
        <v>9329.4239836798351</v>
      </c>
      <c r="I55" s="4">
        <f t="shared" si="18"/>
        <v>12051.762224216052</v>
      </c>
      <c r="J55" s="4">
        <f t="shared" si="18"/>
        <v>14600.702976997169</v>
      </c>
      <c r="K55" s="4">
        <f t="shared" si="18"/>
        <v>16987.290677395718</v>
      </c>
      <c r="L55" s="4">
        <f t="shared" si="18"/>
        <v>19221.866292964271</v>
      </c>
      <c r="M55" s="4">
        <f t="shared" si="18"/>
        <v>21314.112130341091</v>
      </c>
      <c r="N55" s="4">
        <f t="shared" si="18"/>
        <v>23273.093788210317</v>
      </c>
      <c r="O55" s="4">
        <f t="shared" si="18"/>
        <v>25107.299438096808</v>
      </c>
      <c r="P55" s="4">
        <f t="shared" si="18"/>
        <v>26824.676603197411</v>
      </c>
      <c r="Q55" s="4">
        <f t="shared" si="18"/>
        <v>28432.666594609498</v>
      </c>
      <c r="R55" s="4">
        <f t="shared" si="18"/>
        <v>29938.236754167301</v>
      </c>
      <c r="S55" s="4">
        <f t="shared" si="18"/>
        <v>31347.910643592651</v>
      </c>
      <c r="T55" s="4">
        <f t="shared" si="18"/>
        <v>32667.79631076823</v>
      </c>
      <c r="U55" s="4" t="str">
        <f t="shared" si="18"/>
        <v/>
      </c>
      <c r="V55" s="4" t="str">
        <f t="shared" si="18"/>
        <v/>
      </c>
      <c r="W55" s="4" t="str">
        <f t="shared" si="18"/>
        <v/>
      </c>
      <c r="X55" s="4" t="str">
        <f t="shared" si="18"/>
        <v/>
      </c>
      <c r="Y55" s="4" t="str">
        <f t="shared" si="18"/>
        <v/>
      </c>
    </row>
    <row r="56" spans="1:26" x14ac:dyDescent="0.25">
      <c r="A56" s="37" t="s">
        <v>181</v>
      </c>
      <c r="B56" s="37"/>
      <c r="C56" s="37"/>
      <c r="D56" s="37"/>
      <c r="F56" s="4">
        <f t="shared" ref="F56:Y56" si="19">IF(F9&lt;&gt;"",F55+F52,"")</f>
        <v>-20846.991247600854</v>
      </c>
      <c r="G56" s="4">
        <f t="shared" si="19"/>
        <v>-19767.422605636431</v>
      </c>
      <c r="H56" s="4">
        <f t="shared" si="19"/>
        <v>-18756.616356084698</v>
      </c>
      <c r="I56" s="4">
        <f t="shared" si="19"/>
        <v>-17810.192725000277</v>
      </c>
      <c r="J56" s="4">
        <f t="shared" si="19"/>
        <v>-16924.050905168595</v>
      </c>
      <c r="K56" s="4">
        <f t="shared" si="19"/>
        <v>-16094.351287509144</v>
      </c>
      <c r="L56" s="4">
        <f t="shared" si="19"/>
        <v>-15317.498824237522</v>
      </c>
      <c r="M56" s="4">
        <f t="shared" si="19"/>
        <v>-14597.648327304028</v>
      </c>
      <c r="N56" s="4">
        <f t="shared" si="19"/>
        <v>-13934.134988667647</v>
      </c>
      <c r="O56" s="4">
        <f t="shared" si="19"/>
        <v>-13323.880762174253</v>
      </c>
      <c r="P56" s="4">
        <f t="shared" si="19"/>
        <v>-12764.02848866587</v>
      </c>
      <c r="Q56" s="4">
        <f t="shared" si="19"/>
        <v>-12251.92903516244</v>
      </c>
      <c r="R56" s="4">
        <f t="shared" si="19"/>
        <v>-10996.033125302019</v>
      </c>
      <c r="S56" s="4">
        <f t="shared" si="19"/>
        <v>-9820.130653585722</v>
      </c>
      <c r="T56" s="4">
        <f t="shared" si="19"/>
        <v>-8719.1264922279661</v>
      </c>
      <c r="U56" s="4" t="str">
        <f t="shared" si="19"/>
        <v/>
      </c>
      <c r="V56" s="4" t="str">
        <f t="shared" si="19"/>
        <v/>
      </c>
      <c r="W56" s="4" t="str">
        <f t="shared" si="19"/>
        <v/>
      </c>
      <c r="X56" s="4" t="str">
        <f t="shared" si="19"/>
        <v/>
      </c>
      <c r="Y56" s="4" t="str">
        <f t="shared" si="19"/>
        <v/>
      </c>
    </row>
    <row r="57" spans="1:26" x14ac:dyDescent="0.25">
      <c r="A57" s="40" t="s">
        <v>182</v>
      </c>
      <c r="B57" s="40"/>
      <c r="C57" s="40"/>
      <c r="D57" s="40"/>
      <c r="E57" s="44"/>
      <c r="F57" s="46">
        <f>-F50/F14</f>
        <v>38.933590393350677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9" spans="1:26" x14ac:dyDescent="0.25">
      <c r="A59" s="62" t="s">
        <v>123</v>
      </c>
      <c r="B59" s="62"/>
      <c r="C59" s="62"/>
      <c r="D59" s="62"/>
      <c r="E59" s="4">
        <f>E11</f>
        <v>11500</v>
      </c>
      <c r="F59" s="4">
        <f t="shared" ref="F59:T59" si="20">IF(F9="",E59,-F52)</f>
        <v>24163.560820924591</v>
      </c>
      <c r="G59" s="4">
        <f t="shared" si="20"/>
        <v>26189.315102835208</v>
      </c>
      <c r="H59" s="4">
        <f t="shared" si="20"/>
        <v>28086.040339764531</v>
      </c>
      <c r="I59" s="4">
        <f t="shared" si="20"/>
        <v>29861.954949216331</v>
      </c>
      <c r="J59" s="4">
        <f t="shared" si="20"/>
        <v>31524.753882165762</v>
      </c>
      <c r="K59" s="4">
        <f t="shared" si="20"/>
        <v>33081.641964904862</v>
      </c>
      <c r="L59" s="4">
        <f t="shared" si="20"/>
        <v>34539.365117201793</v>
      </c>
      <c r="M59" s="4">
        <f t="shared" si="20"/>
        <v>35911.760457645119</v>
      </c>
      <c r="N59" s="4">
        <f t="shared" si="20"/>
        <v>37207.228776877964</v>
      </c>
      <c r="O59" s="4">
        <f t="shared" si="20"/>
        <v>38431.180200271061</v>
      </c>
      <c r="P59" s="4">
        <f t="shared" si="20"/>
        <v>39588.705091863281</v>
      </c>
      <c r="Q59" s="4">
        <f t="shared" si="20"/>
        <v>40684.595629771939</v>
      </c>
      <c r="R59" s="4">
        <f t="shared" si="20"/>
        <v>40934.269879469321</v>
      </c>
      <c r="S59" s="4">
        <f t="shared" si="20"/>
        <v>41168.041297178373</v>
      </c>
      <c r="T59" s="4">
        <f t="shared" si="20"/>
        <v>41386.922802996196</v>
      </c>
      <c r="U59" s="4"/>
      <c r="V59" s="4"/>
      <c r="W59" s="4"/>
      <c r="X59" s="4"/>
      <c r="Y59" s="4"/>
    </row>
    <row r="60" spans="1:26" x14ac:dyDescent="0.25">
      <c r="A60" s="62" t="s">
        <v>124</v>
      </c>
      <c r="B60" s="62"/>
      <c r="C60" s="62"/>
      <c r="D60" s="62"/>
      <c r="F60" s="4">
        <f t="shared" ref="F60:T60" si="21">IF(F9="",E60,F55)</f>
        <v>3316.569573323738</v>
      </c>
      <c r="G60" s="4">
        <f t="shared" si="21"/>
        <v>6421.8924971987763</v>
      </c>
      <c r="H60" s="4">
        <f t="shared" si="21"/>
        <v>9329.4239836798351</v>
      </c>
      <c r="I60" s="4">
        <f t="shared" si="21"/>
        <v>12051.762224216052</v>
      </c>
      <c r="J60" s="4">
        <f t="shared" si="21"/>
        <v>14600.702976997169</v>
      </c>
      <c r="K60" s="4">
        <f t="shared" si="21"/>
        <v>16987.290677395718</v>
      </c>
      <c r="L60" s="4">
        <f t="shared" si="21"/>
        <v>19221.866292964271</v>
      </c>
      <c r="M60" s="4">
        <f t="shared" si="21"/>
        <v>21314.112130341091</v>
      </c>
      <c r="N60" s="4">
        <f t="shared" si="21"/>
        <v>23273.093788210317</v>
      </c>
      <c r="O60" s="4">
        <f t="shared" si="21"/>
        <v>25107.299438096808</v>
      </c>
      <c r="P60" s="4">
        <f t="shared" si="21"/>
        <v>26824.676603197411</v>
      </c>
      <c r="Q60" s="4">
        <f t="shared" si="21"/>
        <v>28432.666594609498</v>
      </c>
      <c r="R60" s="4">
        <f t="shared" si="21"/>
        <v>29938.236754167301</v>
      </c>
      <c r="S60" s="4">
        <f t="shared" si="21"/>
        <v>31347.910643592651</v>
      </c>
      <c r="T60" s="4">
        <f t="shared" si="21"/>
        <v>32667.79631076823</v>
      </c>
      <c r="U60" s="4"/>
      <c r="V60" s="4"/>
      <c r="W60" s="4"/>
      <c r="X60" s="4"/>
      <c r="Y60" s="4"/>
    </row>
  </sheetData>
  <sheetProtection selectLockedCells="1"/>
  <mergeCells count="27">
    <mergeCell ref="N7:O7"/>
    <mergeCell ref="A59:D59"/>
    <mergeCell ref="A60:D60"/>
    <mergeCell ref="A24:D24"/>
    <mergeCell ref="A25:D25"/>
    <mergeCell ref="A28:D28"/>
    <mergeCell ref="A27:D27"/>
    <mergeCell ref="A13:D13"/>
    <mergeCell ref="A15:D15"/>
    <mergeCell ref="A19:D19"/>
    <mergeCell ref="A14:D14"/>
    <mergeCell ref="A18:D18"/>
    <mergeCell ref="A23:D23"/>
    <mergeCell ref="A7:D7"/>
    <mergeCell ref="A31:D31"/>
    <mergeCell ref="A33:D33"/>
    <mergeCell ref="A34:D34"/>
    <mergeCell ref="A32:D32"/>
    <mergeCell ref="I7:J7"/>
    <mergeCell ref="A26:D26"/>
    <mergeCell ref="E3:H3"/>
    <mergeCell ref="A9:D9"/>
    <mergeCell ref="A11:D11"/>
    <mergeCell ref="A12:D12"/>
    <mergeCell ref="A21:D21"/>
    <mergeCell ref="A17:D17"/>
    <mergeCell ref="A20:D20"/>
  </mergeCells>
  <dataValidations count="2">
    <dataValidation allowBlank="1" showInputMessage="1" showErrorMessage="1" promptTitle="BrutoDobit" prompt="Bruto dobit prema Bilansu uspeha, ne obuhvata otplatu glavice." sqref="A31:D31" xr:uid="{2E441428-4581-492F-B336-3CF0CD18A32E}"/>
    <dataValidation allowBlank="1" showInputMessage="1" showErrorMessage="1" promptTitle="CashFlow" prompt="Ne obuhvata amortizaciju, ali obuhvata otplatu glavnice." sqref="A36" xr:uid="{CA14ACAB-CA52-4826-B1CB-54C2FFAB3568}"/>
  </dataValidations>
  <hyperlinks>
    <hyperlink ref="I7:J7" location="Annuity!I3" display="NAZAD" xr:uid="{00000000-0004-0000-0500-000000000000}"/>
    <hyperlink ref="N7:O7" location="EconIndicators!A1" display="DALJE" xr:uid="{00000000-0004-0000-0500-000001000000}"/>
  </hyperlinks>
  <pageMargins left="0.7" right="0.7" top="0.75" bottom="0.75" header="0.3" footer="0.3"/>
  <pageSetup paperSize="9" orientation="portrait" r:id="rId1"/>
  <ignoredErrors>
    <ignoredError sqref="E47" evalError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3:Z61"/>
  <sheetViews>
    <sheetView showZeros="0" tabSelected="1" zoomScale="80" zoomScaleNormal="80" workbookViewId="0">
      <selection activeCell="Q23" sqref="Q23"/>
    </sheetView>
  </sheetViews>
  <sheetFormatPr defaultRowHeight="15" x14ac:dyDescent="0.25"/>
  <cols>
    <col min="4" max="4" width="23.140625" customWidth="1"/>
    <col min="5" max="5" width="12" customWidth="1"/>
    <col min="6" max="6" width="11.85546875" customWidth="1"/>
    <col min="7" max="7" width="11.28515625" customWidth="1"/>
    <col min="8" max="8" width="12.42578125" customWidth="1"/>
    <col min="9" max="9" width="13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3" customWidth="1"/>
    <col min="19" max="19" width="14.5703125" customWidth="1"/>
    <col min="20" max="20" width="12.42578125" customWidth="1"/>
    <col min="21" max="21" width="11.28515625" customWidth="1"/>
    <col min="22" max="22" width="12.28515625" customWidth="1"/>
    <col min="23" max="23" width="11.85546875" customWidth="1"/>
    <col min="24" max="24" width="12.140625" customWidth="1"/>
    <col min="25" max="25" width="12.42578125" customWidth="1"/>
  </cols>
  <sheetData>
    <row r="3" spans="1:25" ht="16.5" x14ac:dyDescent="0.35">
      <c r="E3" s="55" t="s">
        <v>163</v>
      </c>
      <c r="F3" s="55"/>
      <c r="G3" s="55"/>
      <c r="H3" s="55"/>
    </row>
    <row r="7" spans="1:25" ht="21" x14ac:dyDescent="0.35">
      <c r="A7" s="70" t="s">
        <v>164</v>
      </c>
      <c r="B7" s="70"/>
      <c r="C7" s="70"/>
      <c r="D7" s="70"/>
      <c r="I7" s="59" t="s">
        <v>143</v>
      </c>
      <c r="J7" s="59"/>
      <c r="N7" s="60" t="s">
        <v>144</v>
      </c>
      <c r="O7" s="60"/>
    </row>
    <row r="9" spans="1:25" x14ac:dyDescent="0.25">
      <c r="A9" s="58" t="s">
        <v>64</v>
      </c>
      <c r="B9" s="58"/>
      <c r="C9" s="58"/>
      <c r="D9" s="58"/>
      <c r="E9" s="19">
        <v>0</v>
      </c>
      <c r="F9" s="19">
        <v>1</v>
      </c>
      <c r="G9" s="19">
        <f>IF(F9&lt;UnosPodataka!$M$21,'FinInd+CO2'!F9+1,"")</f>
        <v>2</v>
      </c>
      <c r="H9" s="19">
        <f>IF(G9&lt;UnosPodataka!$M$21,'FinInd+CO2'!G9+1,"")</f>
        <v>3</v>
      </c>
      <c r="I9" s="19">
        <f>IF(H9&lt;UnosPodataka!$M$21,'FinInd+CO2'!H9+1,"")</f>
        <v>4</v>
      </c>
      <c r="J9" s="19">
        <f>IF(I9&lt;UnosPodataka!$M$21,'FinInd+CO2'!I9+1,"")</f>
        <v>5</v>
      </c>
      <c r="K9" s="19">
        <f>IF(J9&lt;UnosPodataka!$M$21,'FinInd+CO2'!J9+1,"")</f>
        <v>6</v>
      </c>
      <c r="L9" s="19">
        <f>IF(K9&lt;UnosPodataka!$M$21,'FinInd+CO2'!K9+1,"")</f>
        <v>7</v>
      </c>
      <c r="M9" s="19">
        <f>IF(L9&lt;UnosPodataka!$M$21,'FinInd+CO2'!L9+1,"")</f>
        <v>8</v>
      </c>
      <c r="N9" s="19">
        <f>IF(M9&lt;UnosPodataka!$M$21,'FinInd+CO2'!M9+1,"")</f>
        <v>9</v>
      </c>
      <c r="O9" s="19">
        <f>IF(N9&lt;UnosPodataka!$M$21,'FinInd+CO2'!N9+1,"")</f>
        <v>10</v>
      </c>
      <c r="P9" s="19">
        <f>IF(O9&lt;UnosPodataka!$M$21,'FinInd+CO2'!O9+1,"")</f>
        <v>11</v>
      </c>
      <c r="Q9" s="19">
        <f>IF(P9&lt;UnosPodataka!$M$21,'FinInd+CO2'!P9+1,"")</f>
        <v>12</v>
      </c>
      <c r="R9" s="19">
        <f>IF(Q9&lt;UnosPodataka!$M$21,'FinInd+CO2'!Q9+1,"")</f>
        <v>13</v>
      </c>
      <c r="S9" s="19">
        <f>IF(R9&lt;UnosPodataka!$M$21,'FinInd+CO2'!R9+1,"")</f>
        <v>14</v>
      </c>
      <c r="T9" s="19">
        <f>IF(S9&lt;UnosPodataka!$M$21,'FinInd+CO2'!S9+1,"")</f>
        <v>15</v>
      </c>
      <c r="U9" s="19" t="str">
        <f>IF(T9&lt;UnosPodataka!$M$21,'FinInd+CO2'!T9+1,"")</f>
        <v/>
      </c>
      <c r="V9" s="19" t="str">
        <f>IF(U9&lt;UnosPodataka!$M$21,'FinInd+CO2'!U9+1,"")</f>
        <v/>
      </c>
      <c r="W9" s="19" t="str">
        <f>IF(V9&lt;UnosPodataka!$M$21,'FinInd+CO2'!V9+1,"")</f>
        <v/>
      </c>
      <c r="X9" s="19" t="str">
        <f>IF(W9&lt;UnosPodataka!$M$21,'FinInd+CO2'!W9+1,"")</f>
        <v/>
      </c>
      <c r="Y9" s="19" t="str">
        <f>IF(X9&lt;UnosPodataka!$M$21,'FinInd+CO2'!X9+1,"")</f>
        <v/>
      </c>
    </row>
    <row r="11" spans="1:25" x14ac:dyDescent="0.25">
      <c r="A11" s="62" t="s">
        <v>112</v>
      </c>
      <c r="B11" s="62"/>
      <c r="C11" s="62"/>
      <c r="D11" s="62"/>
      <c r="E11" s="4">
        <f>LOAN</f>
        <v>11500</v>
      </c>
    </row>
    <row r="12" spans="1:25" x14ac:dyDescent="0.25">
      <c r="A12" s="62" t="s">
        <v>113</v>
      </c>
      <c r="B12" s="62"/>
      <c r="C12" s="62"/>
      <c r="D12" s="62"/>
      <c r="E12" s="4">
        <f>IF(EQUITY=0,LOAN,EQUITY)</f>
        <v>2000</v>
      </c>
    </row>
    <row r="13" spans="1:25" x14ac:dyDescent="0.25">
      <c r="A13" s="62" t="s">
        <v>168</v>
      </c>
      <c r="B13" s="62"/>
      <c r="C13" s="62"/>
      <c r="D13" s="62"/>
      <c r="E13" s="4">
        <f>+PomTab1!K22</f>
        <v>8500</v>
      </c>
    </row>
    <row r="14" spans="1:25" x14ac:dyDescent="0.25">
      <c r="A14" s="62" t="s">
        <v>114</v>
      </c>
      <c r="B14" s="62"/>
      <c r="C14" s="62"/>
      <c r="D14" s="62"/>
      <c r="F14" s="4">
        <f>IF(F9&lt;&gt;"",Ustede!$J$10,"")</f>
        <v>59.35085718029012</v>
      </c>
      <c r="G14" s="4">
        <f>IF(G9&lt;&gt;"",Ustede!$J$10,"")</f>
        <v>59.35085718029012</v>
      </c>
      <c r="H14" s="4">
        <f>IF(H9&lt;&gt;"",Ustede!$J$10,"")</f>
        <v>59.35085718029012</v>
      </c>
      <c r="I14" s="4">
        <f>IF(I9&lt;&gt;"",Ustede!$J$10,"")</f>
        <v>59.35085718029012</v>
      </c>
      <c r="J14" s="4">
        <f>IF(J9&lt;&gt;"",Ustede!$J$10,"")</f>
        <v>59.35085718029012</v>
      </c>
      <c r="K14" s="4">
        <f>IF(K9&lt;&gt;"",Ustede!$J$10,"")</f>
        <v>59.35085718029012</v>
      </c>
      <c r="L14" s="4">
        <f>IF(L9&lt;&gt;"",Ustede!$J$10,"")</f>
        <v>59.35085718029012</v>
      </c>
      <c r="M14" s="4">
        <f>IF(M9&lt;&gt;"",Ustede!$J$10,"")</f>
        <v>59.35085718029012</v>
      </c>
      <c r="N14" s="4">
        <f>IF(N9&lt;&gt;"",Ustede!$J$10,"")</f>
        <v>59.35085718029012</v>
      </c>
      <c r="O14" s="4">
        <f>IF(O9&lt;&gt;"",Ustede!$J$10,"")</f>
        <v>59.35085718029012</v>
      </c>
      <c r="P14" s="4">
        <f>IF(P9&lt;&gt;"",Ustede!$J$10,"")</f>
        <v>59.35085718029012</v>
      </c>
      <c r="Q14" s="4">
        <f>IF(Q9&lt;&gt;"",Ustede!$J$10,"")</f>
        <v>59.35085718029012</v>
      </c>
      <c r="R14" s="4">
        <f>IF(R9&lt;&gt;"",Ustede!$J$10,"")</f>
        <v>59.35085718029012</v>
      </c>
      <c r="S14" s="4">
        <f>IF(S9&lt;&gt;"",Ustede!$J$10,"")</f>
        <v>59.35085718029012</v>
      </c>
      <c r="T14" s="4">
        <f>IF(T9&lt;&gt;"",Ustede!$J$10,"")</f>
        <v>59.35085718029012</v>
      </c>
      <c r="U14" s="4" t="str">
        <f>IF(U9&lt;&gt;"",Ustede!$J$10,"")</f>
        <v/>
      </c>
      <c r="V14" s="4" t="str">
        <f>IF(V9&lt;&gt;"",Ustede!$J$10,"")</f>
        <v/>
      </c>
      <c r="W14" s="4" t="str">
        <f>IF(W9&lt;&gt;"",Ustede!$J$10,"")</f>
        <v/>
      </c>
      <c r="X14" s="4" t="str">
        <f>IF(X9&lt;&gt;"",Ustede!$J$10,"")</f>
        <v/>
      </c>
      <c r="Y14" s="4" t="str">
        <f>IF(Y9&lt;&gt;"",Ustede!$J$10,"")</f>
        <v/>
      </c>
    </row>
    <row r="15" spans="1:25" x14ac:dyDescent="0.25">
      <c r="A15" s="37"/>
      <c r="B15" s="37"/>
      <c r="C15" s="37"/>
      <c r="D15" s="37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x14ac:dyDescent="0.25">
      <c r="A16" s="58" t="s">
        <v>169</v>
      </c>
      <c r="B16" s="58"/>
      <c r="C16" s="58"/>
      <c r="D16" s="58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62" t="s">
        <v>115</v>
      </c>
      <c r="B17" s="62"/>
      <c r="C17" s="62"/>
      <c r="D17" s="62"/>
      <c r="F17" s="4">
        <f>IF(F9&lt;&gt;"",Ustede!$J$11,"")</f>
        <v>3542.1867562072071</v>
      </c>
      <c r="G17" s="4">
        <f>IF(G9&lt;&gt;"",Ustede!$J$11,"")</f>
        <v>3542.1867562072071</v>
      </c>
      <c r="H17" s="4">
        <f>IF(H9&lt;&gt;"",Ustede!$J$11,"")</f>
        <v>3542.1867562072071</v>
      </c>
      <c r="I17" s="4">
        <f>IF(I9&lt;&gt;"",Ustede!$J$11,"")</f>
        <v>3542.1867562072071</v>
      </c>
      <c r="J17" s="4">
        <f>IF(J9&lt;&gt;"",Ustede!$J$11,"")</f>
        <v>3542.1867562072071</v>
      </c>
      <c r="K17" s="4">
        <f>IF(K9&lt;&gt;"",Ustede!$J$11,"")</f>
        <v>3542.1867562072071</v>
      </c>
      <c r="L17" s="4">
        <f>IF(L9&lt;&gt;"",Ustede!$J$11,"")</f>
        <v>3542.1867562072071</v>
      </c>
      <c r="M17" s="4">
        <f>IF(M9&lt;&gt;"",Ustede!$J$11,"")</f>
        <v>3542.1867562072071</v>
      </c>
      <c r="N17" s="4">
        <f>IF(N9&lt;&gt;"",Ustede!$J$11,"")</f>
        <v>3542.1867562072071</v>
      </c>
      <c r="O17" s="4">
        <f>IF(O9&lt;&gt;"",Ustede!$J$11,"")</f>
        <v>3542.1867562072071</v>
      </c>
      <c r="P17" s="4">
        <f>IF(P9&lt;&gt;"",Ustede!$J$11,"")</f>
        <v>3542.1867562072071</v>
      </c>
      <c r="Q17" s="4">
        <f>IF(Q9&lt;&gt;"",Ustede!$J$11,"")</f>
        <v>3542.1867562072071</v>
      </c>
      <c r="R17" s="4">
        <f>IF(R9&lt;&gt;"",Ustede!$J$11,"")</f>
        <v>3542.1867562072071</v>
      </c>
      <c r="S17" s="4">
        <f>IF(S9&lt;&gt;"",Ustede!$J$11,"")</f>
        <v>3542.1867562072071</v>
      </c>
      <c r="T17" s="4">
        <f>IF(T9&lt;&gt;"",Ustede!$J$11,"")</f>
        <v>3542.1867562072071</v>
      </c>
      <c r="U17" s="4" t="str">
        <f>IF(U9&lt;&gt;"",Ustede!$J$11,"")</f>
        <v/>
      </c>
      <c r="V17" s="4" t="str">
        <f>IF(V9&lt;&gt;"",Ustede!$J$11,"")</f>
        <v/>
      </c>
      <c r="W17" s="4" t="str">
        <f>IF(W9&lt;&gt;"",Ustede!$J$11,"")</f>
        <v/>
      </c>
      <c r="X17" s="4" t="str">
        <f>IF(X9&lt;&gt;"",Ustede!$J$11,"")</f>
        <v/>
      </c>
      <c r="Y17" s="4" t="str">
        <f>IF(Y9&lt;&gt;"",Ustede!$J$11,"")</f>
        <v/>
      </c>
    </row>
    <row r="18" spans="1:25" ht="18" x14ac:dyDescent="0.35">
      <c r="A18" s="62" t="s">
        <v>125</v>
      </c>
      <c r="B18" s="62"/>
      <c r="C18" s="62"/>
      <c r="D18" s="62"/>
      <c r="F18" s="4">
        <f>IF(F9&lt;&gt;"",F14*UnosPodataka!$M$20*UnosPodataka!$M$13,"")</f>
        <v>1272.2924552024433</v>
      </c>
      <c r="G18" s="4">
        <f>IF(G9&lt;&gt;"",G14*UnosPodataka!$M$20*UnosPodataka!$M$13,"")</f>
        <v>1272.2924552024433</v>
      </c>
      <c r="H18" s="4">
        <f>IF(H9&lt;&gt;"",H14*UnosPodataka!$M$20*UnosPodataka!$M$13,"")</f>
        <v>1272.2924552024433</v>
      </c>
      <c r="I18" s="4">
        <f>IF(I9&lt;&gt;"",I14*UnosPodataka!$M$20*UnosPodataka!$M$13,"")</f>
        <v>1272.2924552024433</v>
      </c>
      <c r="J18" s="4">
        <f>IF(J9&lt;&gt;"",J14*UnosPodataka!$M$20*UnosPodataka!$M$13,"")</f>
        <v>1272.2924552024433</v>
      </c>
      <c r="K18" s="4">
        <f>IF(K9&lt;&gt;"",K14*UnosPodataka!$M$20*UnosPodataka!$M$13,"")</f>
        <v>1272.2924552024433</v>
      </c>
      <c r="L18" s="4">
        <f>IF(L9&lt;&gt;"",L14*UnosPodataka!$M$20*UnosPodataka!$M$13,"")</f>
        <v>1272.2924552024433</v>
      </c>
      <c r="M18" s="4">
        <f>IF(M9&lt;&gt;"",M14*UnosPodataka!$M$20*UnosPodataka!$M$13,"")</f>
        <v>1272.2924552024433</v>
      </c>
      <c r="N18" s="4">
        <f>IF(N9&lt;&gt;"",N14*UnosPodataka!$M$20*UnosPodataka!$M$13,"")</f>
        <v>1272.2924552024433</v>
      </c>
      <c r="O18" s="4">
        <f>IF(O9&lt;&gt;"",O14*UnosPodataka!$M$20*UnosPodataka!$M$13,"")</f>
        <v>1272.2924552024433</v>
      </c>
      <c r="P18" s="4">
        <f>IF(P9&lt;&gt;"",P14*UnosPodataka!$M$20*UnosPodataka!$M$13,"")</f>
        <v>1272.2924552024433</v>
      </c>
      <c r="Q18" s="4">
        <f>IF(Q9&lt;&gt;"",Q14*UnosPodataka!$M$20*UnosPodataka!$M$13,"")</f>
        <v>1272.2924552024433</v>
      </c>
      <c r="R18" s="4">
        <f>IF(R9&lt;&gt;"",R14*UnosPodataka!$M$20*UnosPodataka!$M$13,"")</f>
        <v>1272.2924552024433</v>
      </c>
      <c r="S18" s="4">
        <f>IF(S9&lt;&gt;"",S14*UnosPodataka!$M$20*UnosPodataka!$M$13,"")</f>
        <v>1272.2924552024433</v>
      </c>
      <c r="T18" s="4">
        <f>IF(T9&lt;&gt;"",T14*UnosPodataka!$M$20*UnosPodataka!$M$13,"")</f>
        <v>1272.2924552024433</v>
      </c>
      <c r="U18" s="4" t="str">
        <f>IF(U9&lt;&gt;"",U14*UnosPodataka!$M$20*UnosPodataka!$M$13,"")</f>
        <v/>
      </c>
      <c r="V18" s="4" t="str">
        <f>IF(V9&lt;&gt;"",V14*UnosPodataka!$M$20*UnosPodataka!$M$13,"")</f>
        <v/>
      </c>
      <c r="W18" s="4" t="str">
        <f>IF(W9&lt;&gt;"",W14*UnosPodataka!$M$20*UnosPodataka!$M$13,"")</f>
        <v/>
      </c>
      <c r="X18" s="4" t="str">
        <f>IF(X9&lt;&gt;"",X14*UnosPodataka!$M$20*UnosPodataka!$M$13,"")</f>
        <v/>
      </c>
      <c r="Y18" s="4" t="str">
        <f>IF(Y9&lt;&gt;"",Y14*UnosPodataka!$M$20*UnosPodataka!$M$13,"")</f>
        <v/>
      </c>
    </row>
    <row r="19" spans="1:25" x14ac:dyDescent="0.25">
      <c r="A19" s="69" t="s">
        <v>126</v>
      </c>
      <c r="B19" s="69"/>
      <c r="C19" s="69"/>
      <c r="D19" s="69"/>
      <c r="E19" s="38"/>
      <c r="F19" s="39">
        <f>IF(F9&lt;&gt;"",F17+F18,"")</f>
        <v>4814.4792114096508</v>
      </c>
      <c r="G19" s="39">
        <f t="shared" ref="G19:Y19" si="0">IF(G9&lt;&gt;"",G17+G18,"")</f>
        <v>4814.4792114096508</v>
      </c>
      <c r="H19" s="39">
        <f t="shared" si="0"/>
        <v>4814.4792114096508</v>
      </c>
      <c r="I19" s="39">
        <f t="shared" si="0"/>
        <v>4814.4792114096508</v>
      </c>
      <c r="J19" s="39">
        <f t="shared" si="0"/>
        <v>4814.4792114096508</v>
      </c>
      <c r="K19" s="39">
        <f t="shared" si="0"/>
        <v>4814.4792114096508</v>
      </c>
      <c r="L19" s="39">
        <f t="shared" si="0"/>
        <v>4814.4792114096508</v>
      </c>
      <c r="M19" s="39">
        <f t="shared" si="0"/>
        <v>4814.4792114096508</v>
      </c>
      <c r="N19" s="39">
        <f t="shared" si="0"/>
        <v>4814.4792114096508</v>
      </c>
      <c r="O19" s="39">
        <f t="shared" si="0"/>
        <v>4814.4792114096508</v>
      </c>
      <c r="P19" s="39">
        <f t="shared" si="0"/>
        <v>4814.4792114096508</v>
      </c>
      <c r="Q19" s="39">
        <f t="shared" si="0"/>
        <v>4814.4792114096508</v>
      </c>
      <c r="R19" s="39">
        <f t="shared" si="0"/>
        <v>4814.4792114096508</v>
      </c>
      <c r="S19" s="39">
        <f t="shared" si="0"/>
        <v>4814.4792114096508</v>
      </c>
      <c r="T19" s="39">
        <f t="shared" si="0"/>
        <v>4814.4792114096508</v>
      </c>
      <c r="U19" s="4" t="str">
        <f t="shared" si="0"/>
        <v/>
      </c>
      <c r="V19" s="4" t="str">
        <f t="shared" si="0"/>
        <v/>
      </c>
      <c r="W19" s="4" t="str">
        <f t="shared" si="0"/>
        <v/>
      </c>
      <c r="X19" s="4" t="str">
        <f t="shared" si="0"/>
        <v/>
      </c>
      <c r="Y19" s="4" t="str">
        <f t="shared" si="0"/>
        <v/>
      </c>
    </row>
    <row r="20" spans="1:25" x14ac:dyDescent="0.25">
      <c r="A20" s="63"/>
      <c r="B20" s="63"/>
      <c r="C20" s="63"/>
      <c r="D20" s="63"/>
    </row>
    <row r="21" spans="1:25" x14ac:dyDescent="0.25">
      <c r="A21" s="58" t="s">
        <v>170</v>
      </c>
      <c r="B21" s="58"/>
      <c r="C21" s="58"/>
      <c r="D21" s="58"/>
    </row>
    <row r="22" spans="1:25" x14ac:dyDescent="0.25">
      <c r="A22" s="62" t="s">
        <v>117</v>
      </c>
      <c r="B22" s="62"/>
      <c r="C22" s="62"/>
      <c r="D22" s="62"/>
      <c r="F22" s="4">
        <f>IF(F9&gt;UnosPodataka!$M$18,"",-VLOOKUP(F9,Annuity!$B$13:$E$32,3,FALSE))</f>
        <v>-1380</v>
      </c>
      <c r="G22" s="4">
        <f>IF(G9&gt;UnosPodataka!$M$18,"",-VLOOKUP(G9,Annuity!$B$13:$E$32,3,FALSE))</f>
        <v>-1322.8172055202858</v>
      </c>
      <c r="H22" s="4">
        <f>IF(H9&gt;UnosPodataka!$M$18,"",-VLOOKUP(H9,Annuity!$B$13:$E$32,3,FALSE))</f>
        <v>-1258.772475703006</v>
      </c>
      <c r="I22" s="4">
        <f>IF(I9&gt;UnosPodataka!$M$18,"",-VLOOKUP(I9,Annuity!$B$13:$E$32,3,FALSE))</f>
        <v>-1187.0423783076528</v>
      </c>
      <c r="J22" s="4">
        <f>IF(J9&gt;UnosPodataka!$M$18,"",-VLOOKUP(J9,Annuity!$B$13:$E$32,3,FALSE))</f>
        <v>-1106.7046692248571</v>
      </c>
      <c r="K22" s="4">
        <f>IF(K9&gt;UnosPodataka!$M$18,"",-VLOOKUP(K9,Annuity!$B$13:$E$32,3,FALSE))</f>
        <v>-1016.7264350521258</v>
      </c>
      <c r="L22" s="4">
        <f>IF(L9&gt;UnosPodataka!$M$18,"",-VLOOKUP(L9,Annuity!$B$13:$E$32,3,FALSE))</f>
        <v>-915.95081277866666</v>
      </c>
      <c r="M22" s="4">
        <f>IF(M9&gt;UnosPodataka!$M$18,"",-VLOOKUP(M9,Annuity!$B$13:$E$32,3,FALSE))</f>
        <v>-803.08211583239256</v>
      </c>
      <c r="N22" s="4">
        <f>IF(N9&gt;UnosPodataka!$M$18,"",-VLOOKUP(N9,Annuity!$B$13:$E$32,3,FALSE))</f>
        <v>-676.66917525256554</v>
      </c>
      <c r="O22" s="4">
        <f>IF(O9&gt;UnosPodataka!$M$18,"",-VLOOKUP(O9,Annuity!$B$13:$E$32,3,FALSE))</f>
        <v>-535.08668180315919</v>
      </c>
      <c r="P22" s="4">
        <f>IF(P9&gt;UnosPodataka!$M$18,"",-VLOOKUP(P9,Annuity!$B$13:$E$32,3,FALSE))</f>
        <v>-376.51428913982414</v>
      </c>
      <c r="Q22" s="4">
        <f>IF(Q9&gt;UnosPodataka!$M$18,"",-VLOOKUP(Q9,Annuity!$B$13:$E$32,3,FALSE))</f>
        <v>-198.9132093568889</v>
      </c>
      <c r="R22" s="4" t="str">
        <f>IF(R9&gt;UnosPodataka!$M$18,"",-VLOOKUP(R9,Annuity!$B$13:$E$32,3,FALSE))</f>
        <v/>
      </c>
      <c r="S22" s="4" t="str">
        <f>IF(S9&gt;UnosPodataka!$M$18,"",-VLOOKUP(S9,Annuity!$B$13:$E$32,3,FALSE))</f>
        <v/>
      </c>
      <c r="T22" s="4" t="str">
        <f>IF(T9&gt;UnosPodataka!$M$18,"",-VLOOKUP(T9,Annuity!$B$13:$E$32,3,FALSE))</f>
        <v/>
      </c>
      <c r="U22" s="4" t="str">
        <f>IF(U9&gt;UnosPodataka!$M$18,"",-VLOOKUP(U9,Annuity!$B$13:$E$32,3,FALSE))</f>
        <v/>
      </c>
      <c r="V22" s="4" t="str">
        <f>IF(V9&gt;UnosPodataka!$M$18,"",-VLOOKUP(V9,Annuity!$B$13:$E$32,3,FALSE))</f>
        <v/>
      </c>
      <c r="W22" s="4" t="str">
        <f>IF(W9&gt;UnosPodataka!$M$18,"",-VLOOKUP(W9,Annuity!$B$13:$E$32,3,FALSE))</f>
        <v/>
      </c>
      <c r="X22" s="4" t="str">
        <f>IF(X9&gt;UnosPodataka!$M$18,"",-VLOOKUP(X9,Annuity!$B$13:$E$32,3,FALSE))</f>
        <v/>
      </c>
      <c r="Y22" s="4" t="str">
        <f>IF(Y9&gt;UnosPodataka!$M$18,"",-VLOOKUP(Y9,Annuity!$B$13:$E$32,3,FALSE))</f>
        <v/>
      </c>
    </row>
    <row r="23" spans="1:25" x14ac:dyDescent="0.25">
      <c r="A23" s="37" t="s">
        <v>171</v>
      </c>
      <c r="B23" s="37"/>
      <c r="C23" s="37"/>
      <c r="D23" s="37"/>
      <c r="F23" s="4">
        <f>IF(F22="",0,IF(F9&gt;UnosPodataka!$M$18,"",VLOOKUP(F9,Annuity!$B$13:$E$32,4,FALSE)+VLOOKUP(F9,Annuity!$B$13:$E$32,3,FALSE)))</f>
        <v>-476.52328733095123</v>
      </c>
      <c r="G23" s="4">
        <f>IF(G22="",0,IF(G9&gt;UnosPodataka!$M$18,"",VLOOKUP(G9,Annuity!$B$13:$E$32,4,FALSE)+VLOOKUP(G9,Annuity!$B$13:$E$32,3,FALSE)))</f>
        <v>-533.70608181066541</v>
      </c>
      <c r="H23" s="4">
        <f>IF(H22="",0,IF(H9&gt;UnosPodataka!$M$18,"",VLOOKUP(H9,Annuity!$B$13:$E$32,4,FALSE)+VLOOKUP(H9,Annuity!$B$13:$E$32,3,FALSE)))</f>
        <v>-597.75081162794527</v>
      </c>
      <c r="I23" s="4">
        <f>IF(I22="",0,IF(I9&gt;UnosPodataka!$M$18,"",VLOOKUP(I9,Annuity!$B$13:$E$32,4,FALSE)+VLOOKUP(I9,Annuity!$B$13:$E$32,3,FALSE)))</f>
        <v>-669.48090902329841</v>
      </c>
      <c r="J23" s="4">
        <f>IF(J22="",0,IF(J9&gt;UnosPodataka!$M$18,"",VLOOKUP(J9,Annuity!$B$13:$E$32,4,FALSE)+VLOOKUP(J9,Annuity!$B$13:$E$32,3,FALSE)))</f>
        <v>-749.81861810609416</v>
      </c>
      <c r="K23" s="4">
        <f>IF(K22="",0,IF(K9&gt;UnosPodataka!$M$18,"",VLOOKUP(K9,Annuity!$B$13:$E$32,4,FALSE)+VLOOKUP(K9,Annuity!$B$13:$E$32,3,FALSE)))</f>
        <v>-839.79685227882544</v>
      </c>
      <c r="L23" s="4">
        <f>IF(L22="",0,IF(L9&gt;UnosPodataka!$M$18,"",VLOOKUP(L9,Annuity!$B$13:$E$32,4,FALSE)+VLOOKUP(L9,Annuity!$B$13:$E$32,3,FALSE)))</f>
        <v>-940.57247455228458</v>
      </c>
      <c r="M23" s="4">
        <f>IF(M22="",0,IF(M9&gt;UnosPodataka!$M$18,"",VLOOKUP(M9,Annuity!$B$13:$E$32,4,FALSE)+VLOOKUP(M9,Annuity!$B$13:$E$32,3,FALSE)))</f>
        <v>-1053.4411714985586</v>
      </c>
      <c r="N23" s="4">
        <f>IF(N22="",0,IF(N9&gt;UnosPodataka!$M$18,"",VLOOKUP(N9,Annuity!$B$13:$E$32,4,FALSE)+VLOOKUP(N9,Annuity!$B$13:$E$32,3,FALSE)))</f>
        <v>-1179.8541120783857</v>
      </c>
      <c r="O23" s="4">
        <f>IF(O22="",0,IF(O9&gt;UnosPodataka!$M$18,"",VLOOKUP(O9,Annuity!$B$13:$E$32,4,FALSE)+VLOOKUP(O9,Annuity!$B$13:$E$32,3,FALSE)))</f>
        <v>-1321.4366055277919</v>
      </c>
      <c r="P23" s="4">
        <f>IF(P22="",0,IF(P9&gt;UnosPodataka!$M$18,"",VLOOKUP(P9,Annuity!$B$13:$E$32,4,FALSE)+VLOOKUP(P9,Annuity!$B$13:$E$32,3,FALSE)))</f>
        <v>-1480.0089981911271</v>
      </c>
      <c r="Q23" s="4">
        <f>IF(Q22="",0,IF(Q9&gt;UnosPodataka!$M$18,"",VLOOKUP(Q9,Annuity!$B$13:$E$32,4,FALSE)+VLOOKUP(Q9,Annuity!$B$13:$E$32,3,FALSE)))</f>
        <v>-1657.6100779740623</v>
      </c>
      <c r="R23" s="4">
        <f>IF(R22="",0,IF(R9&gt;UnosPodataka!$M$18,"",VLOOKUP(R9,Annuity!$B$13:$E$32,4,FALSE)+VLOOKUP(R9,Annuity!$B$13:$E$32,3,FALSE)))</f>
        <v>0</v>
      </c>
      <c r="S23" s="4">
        <f>IF(S22="",0,IF(S9&gt;UnosPodataka!$M$18,"",VLOOKUP(S9,Annuity!$B$13:$E$32,4,FALSE)+VLOOKUP(S9,Annuity!$B$13:$E$32,3,FALSE)))</f>
        <v>0</v>
      </c>
      <c r="T23" s="4">
        <f>IF(T22="",0,IF(T9&gt;UnosPodataka!$M$18,"",VLOOKUP(T9,Annuity!$B$13:$E$32,4,FALSE)+VLOOKUP(T9,Annuity!$B$13:$E$32,3,FALSE)))</f>
        <v>0</v>
      </c>
      <c r="U23" s="4"/>
      <c r="V23" s="4"/>
      <c r="W23" s="4"/>
      <c r="X23" s="4"/>
      <c r="Y23" s="4"/>
    </row>
    <row r="24" spans="1:25" x14ac:dyDescent="0.25">
      <c r="A24" s="62" t="s">
        <v>118</v>
      </c>
      <c r="B24" s="62"/>
      <c r="C24" s="62"/>
      <c r="D24" s="62"/>
      <c r="F24" s="4">
        <f>IF(F9&lt;&gt;"",-UnosPodataka!$M$9,"")</f>
        <v>-100</v>
      </c>
      <c r="G24" s="4">
        <f>IF(G9&lt;&gt;"",-UnosPodataka!$M$9,"")</f>
        <v>-100</v>
      </c>
      <c r="H24" s="4">
        <f>IF(H9&lt;&gt;"",-UnosPodataka!$M$9,"")</f>
        <v>-100</v>
      </c>
      <c r="I24" s="4">
        <f>IF(I9&lt;&gt;"",-UnosPodataka!$M$9,"")</f>
        <v>-100</v>
      </c>
      <c r="J24" s="4">
        <f>IF(J9&lt;&gt;"",-UnosPodataka!$M$9,"")</f>
        <v>-100</v>
      </c>
      <c r="K24" s="4">
        <f>IF(K9&lt;&gt;"",-UnosPodataka!$M$9,"")</f>
        <v>-100</v>
      </c>
      <c r="L24" s="4">
        <f>IF(L9&lt;&gt;"",-UnosPodataka!$M$9,"")</f>
        <v>-100</v>
      </c>
      <c r="M24" s="4">
        <f>IF(M9&lt;&gt;"",-UnosPodataka!$M$9,"")</f>
        <v>-100</v>
      </c>
      <c r="N24" s="4">
        <f>IF(N9&lt;&gt;"",-UnosPodataka!$M$9,"")</f>
        <v>-100</v>
      </c>
      <c r="O24" s="4">
        <f>IF(O9&lt;&gt;"",-UnosPodataka!$M$9,"")</f>
        <v>-100</v>
      </c>
      <c r="P24" s="4">
        <f>IF(P9&lt;&gt;"",-UnosPodataka!$M$9,"")</f>
        <v>-100</v>
      </c>
      <c r="Q24" s="4">
        <f>IF(Q9&lt;&gt;"",-UnosPodataka!$M$9,"")</f>
        <v>-100</v>
      </c>
      <c r="R24" s="4">
        <f>IF(R9&lt;&gt;"",-UnosPodataka!$M$9,"")</f>
        <v>-100</v>
      </c>
      <c r="S24" s="4">
        <f>IF(S9&lt;&gt;"",-UnosPodataka!$M$9,"")</f>
        <v>-100</v>
      </c>
      <c r="T24" s="4">
        <f>IF(T9&lt;&gt;"",-UnosPodataka!$M$9,"")</f>
        <v>-100</v>
      </c>
      <c r="U24" s="4" t="str">
        <f>IF(U9&lt;&gt;"",-UnosPodataka!$M$9,"")</f>
        <v/>
      </c>
      <c r="V24" s="4" t="str">
        <f>IF(V9&lt;&gt;"",-UnosPodataka!$M$9,"")</f>
        <v/>
      </c>
      <c r="W24" s="4" t="str">
        <f>IF(W9&lt;&gt;"",-UnosPodataka!$M$9,"")</f>
        <v/>
      </c>
      <c r="X24" s="4" t="str">
        <f>IF(X9&lt;&gt;"",-UnosPodataka!$M$9,"")</f>
        <v/>
      </c>
      <c r="Y24" s="4" t="str">
        <f>IF(Y9&lt;&gt;"",-UnosPodataka!$M$9,"")</f>
        <v/>
      </c>
    </row>
    <row r="25" spans="1:25" x14ac:dyDescent="0.25">
      <c r="A25" s="62" t="s">
        <v>119</v>
      </c>
      <c r="B25" s="62"/>
      <c r="C25" s="62"/>
      <c r="D25" s="62"/>
      <c r="F25" s="4">
        <f>IF(F9&lt;&gt;"",-Investment*UnosPodataka!$M$11,"")</f>
        <v>0</v>
      </c>
      <c r="G25" s="4">
        <f>IF(G9&lt;&gt;"",-$E$11*UnosPodataka!$M$11,"")</f>
        <v>0</v>
      </c>
      <c r="H25" s="4">
        <f>IF(H9&lt;&gt;"",-$E$11*UnosPodataka!$M$11,"")</f>
        <v>0</v>
      </c>
      <c r="I25" s="4">
        <f>IF(I9&lt;&gt;"",-$E$11*UnosPodataka!$M$11,"")</f>
        <v>0</v>
      </c>
      <c r="J25" s="4">
        <f>IF(J9&lt;&gt;"",-$E$11*UnosPodataka!$M$11,"")</f>
        <v>0</v>
      </c>
      <c r="K25" s="4">
        <f>IF(K9&lt;&gt;"",-$E$11*UnosPodataka!$M$11,"")</f>
        <v>0</v>
      </c>
      <c r="L25" s="4">
        <f>IF(L9&lt;&gt;"",-$E$11*UnosPodataka!$M$11,"")</f>
        <v>0</v>
      </c>
      <c r="M25" s="4">
        <f>IF(M9&lt;&gt;"",-$E$11*UnosPodataka!$M$11,"")</f>
        <v>0</v>
      </c>
      <c r="N25" s="4">
        <f>IF(N9&lt;&gt;"",-$E$11*UnosPodataka!$M$11,"")</f>
        <v>0</v>
      </c>
      <c r="O25" s="4">
        <f>IF(O9&lt;&gt;"",-$E$11*UnosPodataka!$M$11,"")</f>
        <v>0</v>
      </c>
      <c r="P25" s="4">
        <f>IF(P9&lt;&gt;"",-$E$11*UnosPodataka!$M$11,"")</f>
        <v>0</v>
      </c>
      <c r="Q25" s="4">
        <f>IF(Q9&lt;&gt;"",-$E$11*UnosPodataka!$M$11,"")</f>
        <v>0</v>
      </c>
      <c r="R25" s="4">
        <f>IF(R9&lt;&gt;"",-$E$11*UnosPodataka!$M$11,"")</f>
        <v>0</v>
      </c>
      <c r="S25" s="4">
        <f>IF(S9&lt;&gt;"",-$E$11*UnosPodataka!$M$11,"")</f>
        <v>0</v>
      </c>
      <c r="T25" s="4">
        <f>IF(T9&lt;&gt;"",-$E$11*UnosPodataka!$M$11,"")</f>
        <v>0</v>
      </c>
      <c r="U25" s="4" t="str">
        <f>IF(U9&lt;&gt;"",-$E$11*UnosPodataka!$M$11,"")</f>
        <v/>
      </c>
      <c r="V25" s="4" t="str">
        <f>IF(V9&lt;&gt;"",-$E$11*UnosPodataka!$M$11,"")</f>
        <v/>
      </c>
      <c r="W25" s="4" t="str">
        <f>IF(W9&lt;&gt;"",-$E$11*UnosPodataka!$M$11,"")</f>
        <v/>
      </c>
      <c r="X25" s="4" t="str">
        <f>IF(X9&lt;&gt;"",-$E$11*UnosPodataka!$M$11,"")</f>
        <v/>
      </c>
      <c r="Y25" s="4" t="str">
        <f>IF(Y9&lt;&gt;"",-$E$11*UnosPodataka!$M$11,"")</f>
        <v/>
      </c>
    </row>
    <row r="26" spans="1:25" x14ac:dyDescent="0.25">
      <c r="A26" s="62" t="s">
        <v>12</v>
      </c>
      <c r="B26" s="62"/>
      <c r="C26" s="62"/>
      <c r="D26" s="62"/>
      <c r="F26" s="4" t="str">
        <f>IF(F9&lt;&gt;"","","")</f>
        <v/>
      </c>
      <c r="G26" s="4" t="str">
        <f t="shared" ref="G26:Y26" si="1">IF(G9&lt;&gt;"","","")</f>
        <v/>
      </c>
      <c r="H26" s="4" t="str">
        <f t="shared" si="1"/>
        <v/>
      </c>
      <c r="I26" s="4" t="str">
        <f t="shared" si="1"/>
        <v/>
      </c>
      <c r="J26" s="4" t="str">
        <f t="shared" si="1"/>
        <v/>
      </c>
      <c r="K26" s="4" t="str">
        <f t="shared" si="1"/>
        <v/>
      </c>
      <c r="L26" s="4" t="str">
        <f t="shared" si="1"/>
        <v/>
      </c>
      <c r="M26" s="4" t="str">
        <f t="shared" si="1"/>
        <v/>
      </c>
      <c r="N26" s="4" t="str">
        <f t="shared" si="1"/>
        <v/>
      </c>
      <c r="O26" s="4" t="str">
        <f t="shared" si="1"/>
        <v/>
      </c>
      <c r="P26" s="4" t="str">
        <f t="shared" si="1"/>
        <v/>
      </c>
      <c r="Q26" s="4" t="str">
        <f t="shared" si="1"/>
        <v/>
      </c>
      <c r="R26" s="4" t="str">
        <f t="shared" si="1"/>
        <v/>
      </c>
      <c r="S26" s="4" t="str">
        <f t="shared" si="1"/>
        <v/>
      </c>
      <c r="T26" s="4" t="str">
        <f t="shared" si="1"/>
        <v/>
      </c>
      <c r="U26" s="4" t="str">
        <f t="shared" si="1"/>
        <v/>
      </c>
      <c r="V26" s="4" t="str">
        <f t="shared" si="1"/>
        <v/>
      </c>
      <c r="W26" s="4" t="str">
        <f t="shared" si="1"/>
        <v/>
      </c>
      <c r="X26" s="4" t="str">
        <f t="shared" si="1"/>
        <v/>
      </c>
      <c r="Y26" s="4" t="str">
        <f t="shared" si="1"/>
        <v/>
      </c>
    </row>
    <row r="27" spans="1:25" x14ac:dyDescent="0.25">
      <c r="A27" s="62" t="s">
        <v>172</v>
      </c>
      <c r="B27" s="62"/>
      <c r="C27" s="62"/>
      <c r="D27" s="62"/>
      <c r="F27" s="4">
        <f>IF(F9&lt;&gt;"",-Investment*UnosPodataka!$M$12,"")</f>
        <v>-2200</v>
      </c>
      <c r="G27" s="4">
        <f>IF(G9&lt;&gt;"",-Investment*UnosPodataka!$M$12,"")</f>
        <v>-2200</v>
      </c>
      <c r="H27" s="4">
        <f>IF(H9&lt;&gt;"",-Investment*UnosPodataka!$M$12,"")</f>
        <v>-2200</v>
      </c>
      <c r="I27" s="4">
        <f>IF(I9&lt;&gt;"",-Investment*UnosPodataka!$M$12,"")</f>
        <v>-2200</v>
      </c>
      <c r="J27" s="4">
        <f>IF(J9&lt;&gt;"",-Investment*UnosPodataka!$M$12,"")</f>
        <v>-2200</v>
      </c>
      <c r="K27" s="4">
        <f>IF(K9&lt;&gt;"",-Investment*UnosPodataka!$M$12,"")</f>
        <v>-2200</v>
      </c>
      <c r="L27" s="4">
        <f>IF(L9&lt;&gt;"",-Investment*UnosPodataka!$M$12,"")</f>
        <v>-2200</v>
      </c>
      <c r="M27" s="4">
        <f>IF(M9&lt;&gt;"",-Investment*UnosPodataka!$M$12,"")</f>
        <v>-2200</v>
      </c>
      <c r="N27" s="4">
        <f>IF(N9&lt;&gt;"",-Investment*UnosPodataka!$M$12,"")</f>
        <v>-2200</v>
      </c>
      <c r="O27" s="4">
        <f>IF(O9&lt;&gt;"",-Investment*UnosPodataka!$M$12,"")</f>
        <v>-2200</v>
      </c>
      <c r="P27" s="4">
        <f>IF(P9&lt;&gt;"",-Investment*UnosPodataka!$M$12,"")</f>
        <v>-2200</v>
      </c>
      <c r="Q27" s="4">
        <f>IF(Q9&lt;&gt;"",-Investment*UnosPodataka!$M$12,"")</f>
        <v>-2200</v>
      </c>
      <c r="R27" s="4">
        <f>IF(R9&lt;&gt;"",-Investment*UnosPodataka!$M$12,"")</f>
        <v>-2200</v>
      </c>
      <c r="S27" s="4">
        <f>IF(S9&lt;&gt;"",-Investment*UnosPodataka!$M$12,"")</f>
        <v>-2200</v>
      </c>
      <c r="T27" s="4">
        <f>IF(T9&lt;&gt;"",-Investment*UnosPodataka!$M$12,"")</f>
        <v>-2200</v>
      </c>
      <c r="U27" s="4"/>
      <c r="V27" s="4"/>
      <c r="W27" s="4"/>
      <c r="X27" s="4"/>
      <c r="Y27" s="4"/>
    </row>
    <row r="28" spans="1:25" x14ac:dyDescent="0.25">
      <c r="A28" s="62" t="s">
        <v>127</v>
      </c>
      <c r="B28" s="62"/>
      <c r="C28" s="62"/>
      <c r="D28" s="62"/>
      <c r="F28" s="4">
        <f>IF(F9&lt;&gt;"",-(1-UnosPodataka!$M$10)*'FinInd+CO2'!F17,"")</f>
        <v>-354.2186756207206</v>
      </c>
      <c r="G28" s="4">
        <f>IF(G9&lt;&gt;"",-(1-UnosPodataka!$M$10)*'FinInd+CO2'!G17,"")</f>
        <v>-354.2186756207206</v>
      </c>
      <c r="H28" s="4">
        <f>IF(H9&lt;&gt;"",-(1-UnosPodataka!$M$10)*'FinInd+CO2'!H17,"")</f>
        <v>-354.2186756207206</v>
      </c>
      <c r="I28" s="4">
        <f>IF(I9&lt;&gt;"",-(1-UnosPodataka!$M$10)*'FinInd+CO2'!I17,"")</f>
        <v>-354.2186756207206</v>
      </c>
      <c r="J28" s="4">
        <f>IF(J9&lt;&gt;"",-(1-UnosPodataka!$M$10)*'FinInd+CO2'!J17,"")</f>
        <v>-354.2186756207206</v>
      </c>
      <c r="K28" s="4">
        <f>IF(K9&lt;&gt;"",-(1-UnosPodataka!$M$10)*'FinInd+CO2'!K17,"")</f>
        <v>-354.2186756207206</v>
      </c>
      <c r="L28" s="4">
        <f>IF(L9&lt;&gt;"",-(1-UnosPodataka!$M$10)*'FinInd+CO2'!L17,"")</f>
        <v>-354.2186756207206</v>
      </c>
      <c r="M28" s="4">
        <f>IF(M9&lt;&gt;"",-(1-UnosPodataka!$M$10)*'FinInd+CO2'!M17,"")</f>
        <v>-354.2186756207206</v>
      </c>
      <c r="N28" s="4">
        <f>IF(N9&lt;&gt;"",-(1-UnosPodataka!$M$10)*'FinInd+CO2'!N17,"")</f>
        <v>-354.2186756207206</v>
      </c>
      <c r="O28" s="4">
        <f>IF(O9&lt;&gt;"",-(1-UnosPodataka!$M$10)*'FinInd+CO2'!O17,"")</f>
        <v>-354.2186756207206</v>
      </c>
      <c r="P28" s="4">
        <f>IF(P9&lt;&gt;"",-(1-UnosPodataka!$M$10)*'FinInd+CO2'!P17,"")</f>
        <v>-354.2186756207206</v>
      </c>
      <c r="Q28" s="4">
        <f>IF(Q9&lt;&gt;"",-(1-UnosPodataka!$M$10)*'FinInd+CO2'!Q17,"")</f>
        <v>-354.2186756207206</v>
      </c>
      <c r="R28" s="4">
        <f>IF(R9&lt;&gt;"",-(1-UnosPodataka!$M$10)*'FinInd+CO2'!R17,"")</f>
        <v>-354.2186756207206</v>
      </c>
      <c r="S28" s="4">
        <f>IF(S9&lt;&gt;"",-(1-UnosPodataka!$M$10)*'FinInd+CO2'!S17,"")</f>
        <v>-354.2186756207206</v>
      </c>
      <c r="T28" s="4">
        <f>IF(T9&lt;&gt;"",-(1-UnosPodataka!$M$10)*'FinInd+CO2'!T17,"")</f>
        <v>-354.2186756207206</v>
      </c>
      <c r="U28" s="4" t="str">
        <f>IF(U9&lt;&gt;"",-(1-UnosPodataka!$M$10)*'FinInd+CO2'!U17,"")</f>
        <v/>
      </c>
      <c r="V28" s="4" t="str">
        <f>IF(V9&lt;&gt;"",-(1-UnosPodataka!$M$10)*'FinInd+CO2'!V17,"")</f>
        <v/>
      </c>
      <c r="W28" s="4" t="str">
        <f>IF(W9&lt;&gt;"",-(1-UnosPodataka!$M$10)*'FinInd+CO2'!W17,"")</f>
        <v/>
      </c>
      <c r="X28" s="4" t="str">
        <f>IF(X9&lt;&gt;"",-(1-UnosPodataka!$M$10)*'FinInd+CO2'!X17,"")</f>
        <v/>
      </c>
      <c r="Y28" s="4" t="str">
        <f>IF(Y9&lt;&gt;"",-(1-UnosPodataka!$M$10)*'FinInd+CO2'!Y17,"")</f>
        <v/>
      </c>
    </row>
    <row r="29" spans="1:25" x14ac:dyDescent="0.25">
      <c r="A29" s="69" t="s">
        <v>128</v>
      </c>
      <c r="B29" s="69"/>
      <c r="C29" s="69"/>
      <c r="D29" s="69"/>
      <c r="E29" s="38"/>
      <c r="F29" s="39">
        <f>IF(F9&lt;&gt;"",SUM(F22:F28),"")</f>
        <v>-4510.7419629516717</v>
      </c>
      <c r="G29" s="39">
        <f t="shared" ref="G29:Y29" si="2">IF(G9&lt;&gt;"",SUM(G22:G28),"")</f>
        <v>-4510.7419629516717</v>
      </c>
      <c r="H29" s="39">
        <f t="shared" si="2"/>
        <v>-4510.7419629516717</v>
      </c>
      <c r="I29" s="39">
        <f t="shared" si="2"/>
        <v>-4510.7419629516717</v>
      </c>
      <c r="J29" s="39">
        <f t="shared" si="2"/>
        <v>-4510.7419629516717</v>
      </c>
      <c r="K29" s="39">
        <f t="shared" si="2"/>
        <v>-4510.7419629516717</v>
      </c>
      <c r="L29" s="39">
        <f t="shared" si="2"/>
        <v>-4510.7419629516717</v>
      </c>
      <c r="M29" s="39">
        <f t="shared" si="2"/>
        <v>-4510.7419629516708</v>
      </c>
      <c r="N29" s="39">
        <f t="shared" si="2"/>
        <v>-4510.7419629516717</v>
      </c>
      <c r="O29" s="39">
        <f t="shared" si="2"/>
        <v>-4510.7419629516708</v>
      </c>
      <c r="P29" s="39">
        <f t="shared" si="2"/>
        <v>-4510.7419629516717</v>
      </c>
      <c r="Q29" s="39">
        <f t="shared" si="2"/>
        <v>-4510.7419629516717</v>
      </c>
      <c r="R29" s="39">
        <f t="shared" si="2"/>
        <v>-2654.2186756207207</v>
      </c>
      <c r="S29" s="39">
        <f t="shared" si="2"/>
        <v>-2654.2186756207207</v>
      </c>
      <c r="T29" s="39">
        <f t="shared" si="2"/>
        <v>-2654.2186756207207</v>
      </c>
      <c r="U29" s="4" t="str">
        <f t="shared" si="2"/>
        <v/>
      </c>
      <c r="V29" s="4" t="str">
        <f t="shared" si="2"/>
        <v/>
      </c>
      <c r="W29" s="4" t="str">
        <f t="shared" si="2"/>
        <v/>
      </c>
      <c r="X29" s="4" t="str">
        <f t="shared" si="2"/>
        <v/>
      </c>
      <c r="Y29" s="4" t="str">
        <f t="shared" si="2"/>
        <v/>
      </c>
    </row>
    <row r="31" spans="1:25" x14ac:dyDescent="0.25">
      <c r="A31" t="s">
        <v>173</v>
      </c>
      <c r="E31" s="4">
        <f>-SUM(E11:E13)</f>
        <v>-22000</v>
      </c>
      <c r="F31" s="4">
        <f>+F29-F27-F34</f>
        <v>-2427.7810433200111</v>
      </c>
      <c r="G31" s="4">
        <f t="shared" ref="G31:T31" si="3">+G29-G27-G34</f>
        <v>-2436.3584624919686</v>
      </c>
      <c r="H31" s="4">
        <f t="shared" si="3"/>
        <v>-2445.9651719645603</v>
      </c>
      <c r="I31" s="4">
        <f t="shared" si="3"/>
        <v>-2456.7246865738634</v>
      </c>
      <c r="J31" s="4">
        <f t="shared" si="3"/>
        <v>-2468.7753429362829</v>
      </c>
      <c r="K31" s="4">
        <f t="shared" si="3"/>
        <v>-2482.2720780621926</v>
      </c>
      <c r="L31" s="4">
        <f t="shared" si="3"/>
        <v>-2497.3884214032114</v>
      </c>
      <c r="M31" s="4">
        <f t="shared" si="3"/>
        <v>-2514.3187259451515</v>
      </c>
      <c r="N31" s="4">
        <f t="shared" si="3"/>
        <v>-2533.2806670321265</v>
      </c>
      <c r="O31" s="4">
        <f t="shared" si="3"/>
        <v>-2554.5180410495364</v>
      </c>
      <c r="P31" s="4">
        <f t="shared" si="3"/>
        <v>-2578.3038999490377</v>
      </c>
      <c r="Q31" s="4">
        <f t="shared" si="3"/>
        <v>-2604.9440619164779</v>
      </c>
      <c r="R31" s="4">
        <f t="shared" si="3"/>
        <v>-778.25775598906012</v>
      </c>
      <c r="S31" s="4">
        <f t="shared" si="3"/>
        <v>-778.25775598906012</v>
      </c>
      <c r="T31" s="4">
        <f t="shared" si="3"/>
        <v>-778.25775598906012</v>
      </c>
    </row>
    <row r="32" spans="1:25" x14ac:dyDescent="0.25">
      <c r="A32" s="58" t="s">
        <v>174</v>
      </c>
      <c r="B32" s="58"/>
      <c r="C32" s="58"/>
      <c r="D32" s="58"/>
      <c r="F32" s="4">
        <f>IF(F9&lt;&gt;"",F19+F29-F23,"")</f>
        <v>780.26053578893038</v>
      </c>
      <c r="G32" s="4">
        <f t="shared" ref="G32:T32" si="4">IF(G9&lt;&gt;"",G19+G29-G23,"")</f>
        <v>837.44333026864456</v>
      </c>
      <c r="H32" s="4">
        <f t="shared" si="4"/>
        <v>901.48806008592442</v>
      </c>
      <c r="I32" s="4">
        <f t="shared" si="4"/>
        <v>973.21815748127756</v>
      </c>
      <c r="J32" s="4">
        <f t="shared" si="4"/>
        <v>1053.5558665640733</v>
      </c>
      <c r="K32" s="4">
        <f t="shared" si="4"/>
        <v>1143.5341007368047</v>
      </c>
      <c r="L32" s="4">
        <f t="shared" si="4"/>
        <v>1244.3097230102637</v>
      </c>
      <c r="M32" s="4">
        <f t="shared" si="4"/>
        <v>1357.1784199565386</v>
      </c>
      <c r="N32" s="4">
        <f t="shared" si="4"/>
        <v>1483.5913605363648</v>
      </c>
      <c r="O32" s="4">
        <f t="shared" si="4"/>
        <v>1625.173853985772</v>
      </c>
      <c r="P32" s="4">
        <f t="shared" si="4"/>
        <v>1783.7462466491063</v>
      </c>
      <c r="Q32" s="4">
        <f t="shared" si="4"/>
        <v>1961.3473264320414</v>
      </c>
      <c r="R32" s="4">
        <f t="shared" si="4"/>
        <v>2160.2605357889302</v>
      </c>
      <c r="S32" s="4">
        <f t="shared" si="4"/>
        <v>2160.2605357889302</v>
      </c>
      <c r="T32" s="4">
        <f t="shared" si="4"/>
        <v>2160.2605357889302</v>
      </c>
      <c r="U32" s="4" t="str">
        <f t="shared" ref="U32:Y32" si="5">IF(U9&lt;&gt;"",U19+U29,"")</f>
        <v/>
      </c>
      <c r="V32" s="4" t="str">
        <f t="shared" si="5"/>
        <v/>
      </c>
      <c r="W32" s="4" t="str">
        <f t="shared" si="5"/>
        <v/>
      </c>
      <c r="X32" s="4" t="str">
        <f t="shared" si="5"/>
        <v/>
      </c>
      <c r="Y32" s="4" t="str">
        <f t="shared" si="5"/>
        <v/>
      </c>
    </row>
    <row r="33" spans="1:25" x14ac:dyDescent="0.25">
      <c r="A33" s="68"/>
      <c r="B33" s="68"/>
      <c r="C33" s="68"/>
      <c r="D33" s="68"/>
    </row>
    <row r="34" spans="1:25" x14ac:dyDescent="0.25">
      <c r="A34" s="62" t="s">
        <v>121</v>
      </c>
      <c r="B34" s="62"/>
      <c r="C34" s="62"/>
      <c r="D34" s="62"/>
      <c r="F34" s="4">
        <f>IF(F9&lt;&gt;"",IF(F32&gt;0,F32*VAT,0),"")</f>
        <v>117.03908036833955</v>
      </c>
      <c r="G34" s="4">
        <f t="shared" ref="G34:T34" si="6">IF(G9&lt;&gt;"",IF(G32&gt;0,G32*VAT,0),"")</f>
        <v>125.61649954029667</v>
      </c>
      <c r="H34" s="4">
        <f t="shared" si="6"/>
        <v>135.22320901288865</v>
      </c>
      <c r="I34" s="4">
        <f t="shared" si="6"/>
        <v>145.98272362219163</v>
      </c>
      <c r="J34" s="4">
        <f t="shared" si="6"/>
        <v>158.033379984611</v>
      </c>
      <c r="K34" s="4">
        <f t="shared" si="6"/>
        <v>171.53011511052071</v>
      </c>
      <c r="L34" s="4">
        <f t="shared" si="6"/>
        <v>186.64645845153956</v>
      </c>
      <c r="M34" s="4">
        <f t="shared" si="6"/>
        <v>203.5767629934808</v>
      </c>
      <c r="N34" s="4">
        <f t="shared" si="6"/>
        <v>222.53870408045472</v>
      </c>
      <c r="O34" s="4">
        <f t="shared" si="6"/>
        <v>243.77607809786579</v>
      </c>
      <c r="P34" s="4">
        <f t="shared" si="6"/>
        <v>267.56193699736593</v>
      </c>
      <c r="Q34" s="4">
        <f t="shared" si="6"/>
        <v>294.20209896480623</v>
      </c>
      <c r="R34" s="4">
        <f t="shared" si="6"/>
        <v>324.03908036833951</v>
      </c>
      <c r="S34" s="4">
        <f t="shared" si="6"/>
        <v>324.03908036833951</v>
      </c>
      <c r="T34" s="4">
        <f t="shared" si="6"/>
        <v>324.03908036833951</v>
      </c>
      <c r="U34" s="4" t="str">
        <f>IF(U9&lt;&gt;"",IF(#REF!&gt;0,#REF!*VAT,0),"")</f>
        <v/>
      </c>
      <c r="V34" s="4" t="str">
        <f>IF(V9&lt;&gt;"",IF(#REF!&gt;0,#REF!*VAT,0),"")</f>
        <v/>
      </c>
      <c r="W34" s="4" t="str">
        <f>IF(W9&lt;&gt;"",IF(#REF!&gt;0,#REF!*VAT,0),"")</f>
        <v/>
      </c>
      <c r="X34" s="4" t="str">
        <f>IF(X9&lt;&gt;"",IF(#REF!&gt;0,#REF!*VAT,0),"")</f>
        <v/>
      </c>
      <c r="Y34" s="4" t="str">
        <f>IF(Y9&lt;&gt;"",IF(#REF!&gt;0,#REF!*VAT,0),"")</f>
        <v/>
      </c>
    </row>
    <row r="35" spans="1:25" x14ac:dyDescent="0.25">
      <c r="A35" s="58" t="s">
        <v>122</v>
      </c>
      <c r="B35" s="58"/>
      <c r="C35" s="58"/>
      <c r="D35" s="58"/>
      <c r="E35" s="4"/>
      <c r="F35" s="4">
        <f>IF(F9&lt;&gt;"",F32-F34,"")</f>
        <v>663.22145542059081</v>
      </c>
      <c r="G35" s="4">
        <f t="shared" ref="G35:T35" si="7">IF(G9&lt;&gt;"",G32-G34,"")</f>
        <v>711.82683072834789</v>
      </c>
      <c r="H35" s="4">
        <f t="shared" si="7"/>
        <v>766.26485107303574</v>
      </c>
      <c r="I35" s="4">
        <f t="shared" si="7"/>
        <v>827.2354338590859</v>
      </c>
      <c r="J35" s="4">
        <f t="shared" si="7"/>
        <v>895.52248657946234</v>
      </c>
      <c r="K35" s="4">
        <f t="shared" si="7"/>
        <v>972.00398562628402</v>
      </c>
      <c r="L35" s="4">
        <f t="shared" si="7"/>
        <v>1057.6632645587242</v>
      </c>
      <c r="M35" s="4">
        <f t="shared" si="7"/>
        <v>1153.6016569630578</v>
      </c>
      <c r="N35" s="4">
        <f t="shared" si="7"/>
        <v>1261.0526564559102</v>
      </c>
      <c r="O35" s="4">
        <f t="shared" si="7"/>
        <v>1381.3977758879062</v>
      </c>
      <c r="P35" s="4">
        <f t="shared" si="7"/>
        <v>1516.1843096517405</v>
      </c>
      <c r="Q35" s="4">
        <f t="shared" si="7"/>
        <v>1667.1452274672351</v>
      </c>
      <c r="R35" s="4">
        <f t="shared" si="7"/>
        <v>1836.2214554205907</v>
      </c>
      <c r="S35" s="4">
        <f t="shared" si="7"/>
        <v>1836.2214554205907</v>
      </c>
      <c r="T35" s="4">
        <f t="shared" si="7"/>
        <v>1836.2214554205907</v>
      </c>
      <c r="U35" s="4" t="str">
        <f>IF(U9&lt;&gt;"",#REF!-U34,"")</f>
        <v/>
      </c>
      <c r="V35" s="4" t="str">
        <f>IF(V9&lt;&gt;"",#REF!-V34,"")</f>
        <v/>
      </c>
      <c r="W35" s="4" t="str">
        <f>IF(W9&lt;&gt;"",#REF!-W34,"")</f>
        <v/>
      </c>
      <c r="X35" s="4" t="str">
        <f>IF(X9&lt;&gt;"",#REF!-X34,"")</f>
        <v/>
      </c>
      <c r="Y35" s="4" t="str">
        <f>IF(Y9&lt;&gt;"",#REF!-Y34,"")</f>
        <v/>
      </c>
    </row>
    <row r="37" spans="1:25" x14ac:dyDescent="0.25">
      <c r="A37" s="41" t="s">
        <v>183</v>
      </c>
      <c r="E37" s="4">
        <f>+E19+E31-E34</f>
        <v>-22000</v>
      </c>
      <c r="F37" s="4">
        <f>+F19+F31-F34</f>
        <v>2269.6590877213002</v>
      </c>
      <c r="G37" s="4">
        <f t="shared" ref="G37:T37" si="8">+G19+G31-G34</f>
        <v>2252.5042493773853</v>
      </c>
      <c r="H37" s="4">
        <f t="shared" si="8"/>
        <v>2233.2908304322018</v>
      </c>
      <c r="I37" s="4">
        <f t="shared" si="8"/>
        <v>2211.7718012135956</v>
      </c>
      <c r="J37" s="4">
        <f t="shared" si="8"/>
        <v>2187.6704884887567</v>
      </c>
      <c r="K37" s="4">
        <f t="shared" si="8"/>
        <v>2160.6770182369373</v>
      </c>
      <c r="L37" s="4">
        <f t="shared" si="8"/>
        <v>2130.4443315548997</v>
      </c>
      <c r="M37" s="4">
        <f t="shared" si="8"/>
        <v>2096.5837224710185</v>
      </c>
      <c r="N37" s="4">
        <f t="shared" si="8"/>
        <v>2058.6598402970694</v>
      </c>
      <c r="O37" s="4">
        <f t="shared" si="8"/>
        <v>2016.1850922622486</v>
      </c>
      <c r="P37" s="4">
        <f t="shared" si="8"/>
        <v>1968.6133744632471</v>
      </c>
      <c r="Q37" s="4">
        <f t="shared" si="8"/>
        <v>1915.3330505283666</v>
      </c>
      <c r="R37" s="4">
        <f t="shared" si="8"/>
        <v>3712.1823750522512</v>
      </c>
      <c r="S37" s="4">
        <f t="shared" si="8"/>
        <v>3712.1823750522512</v>
      </c>
      <c r="T37" s="4">
        <f t="shared" si="8"/>
        <v>3712.1823750522512</v>
      </c>
    </row>
    <row r="38" spans="1:25" x14ac:dyDescent="0.25">
      <c r="A38" s="41" t="s">
        <v>184</v>
      </c>
      <c r="E38" s="4">
        <f>+E37</f>
        <v>-22000</v>
      </c>
      <c r="F38" s="4">
        <f>+E38+F37</f>
        <v>-19730.340912278698</v>
      </c>
      <c r="G38" s="4">
        <f t="shared" ref="G38:T38" si="9">+F38+G37</f>
        <v>-17477.836662901311</v>
      </c>
      <c r="H38" s="4">
        <f t="shared" si="9"/>
        <v>-15244.54583246911</v>
      </c>
      <c r="I38" s="4">
        <f t="shared" si="9"/>
        <v>-13032.774031255514</v>
      </c>
      <c r="J38" s="4">
        <f t="shared" si="9"/>
        <v>-10845.103542766758</v>
      </c>
      <c r="K38" s="4">
        <f t="shared" si="9"/>
        <v>-8684.4265245298193</v>
      </c>
      <c r="L38" s="4">
        <f t="shared" si="9"/>
        <v>-6553.9821929749196</v>
      </c>
      <c r="M38" s="4">
        <f t="shared" si="9"/>
        <v>-4457.3984705039011</v>
      </c>
      <c r="N38" s="4">
        <f t="shared" si="9"/>
        <v>-2398.7386302068317</v>
      </c>
      <c r="O38" s="4">
        <f t="shared" si="9"/>
        <v>-382.55353794458301</v>
      </c>
      <c r="P38" s="4">
        <f t="shared" si="9"/>
        <v>1586.059836518664</v>
      </c>
      <c r="Q38" s="4">
        <f t="shared" si="9"/>
        <v>3501.3928870470309</v>
      </c>
      <c r="R38" s="4">
        <f t="shared" si="9"/>
        <v>7213.5752620992826</v>
      </c>
      <c r="S38" s="4">
        <f t="shared" si="9"/>
        <v>10925.757637151533</v>
      </c>
      <c r="T38" s="4">
        <f t="shared" si="9"/>
        <v>14637.940012203784</v>
      </c>
    </row>
    <row r="39" spans="1:25" x14ac:dyDescent="0.25">
      <c r="A39" s="21"/>
    </row>
    <row r="40" spans="1:25" x14ac:dyDescent="0.25">
      <c r="A40" s="41" t="s">
        <v>65</v>
      </c>
      <c r="E40" s="10">
        <f>+PomTab1!L25</f>
        <v>6.8027272727272728E-2</v>
      </c>
    </row>
    <row r="41" spans="1:25" x14ac:dyDescent="0.25">
      <c r="A41" s="41" t="s">
        <v>185</v>
      </c>
      <c r="E41" s="4">
        <f>IF(E9&lt;&gt;"",E37*(1+$E$40)^-E9,"")</f>
        <v>-22000</v>
      </c>
      <c r="F41" s="4">
        <f>IF(F9&lt;&gt;"",F37*(1+$E$40)^-F9,"")</f>
        <v>2125.0946915668055</v>
      </c>
      <c r="G41" s="4">
        <f t="shared" ref="G41:T41" si="10">IF(G9&lt;&gt;"",G37*(1+$E$40)^-G9,"")</f>
        <v>1974.6991232069188</v>
      </c>
      <c r="H41" s="4">
        <f t="shared" si="10"/>
        <v>1833.1510603082429</v>
      </c>
      <c r="I41" s="4">
        <f t="shared" si="10"/>
        <v>1699.8513540349365</v>
      </c>
      <c r="J41" s="4">
        <f t="shared" si="10"/>
        <v>1574.2372849184044</v>
      </c>
      <c r="K41" s="4">
        <f t="shared" si="10"/>
        <v>1455.7801581810327</v>
      </c>
      <c r="L41" s="4">
        <f t="shared" si="10"/>
        <v>1343.9830481203298</v>
      </c>
      <c r="M41" s="4">
        <f t="shared" si="10"/>
        <v>1238.3786818594792</v>
      </c>
      <c r="N41" s="4">
        <f t="shared" si="10"/>
        <v>1138.5274533780216</v>
      </c>
      <c r="O41" s="4">
        <f t="shared" si="10"/>
        <v>1044.0155593049726</v>
      </c>
      <c r="P41" s="4">
        <f t="shared" si="10"/>
        <v>954.45324848847474</v>
      </c>
      <c r="Q41" s="4">
        <f t="shared" si="10"/>
        <v>869.47317785359439</v>
      </c>
      <c r="R41" s="4">
        <f t="shared" si="10"/>
        <v>1577.8250542327285</v>
      </c>
      <c r="S41" s="4">
        <f t="shared" si="10"/>
        <v>1477.3265575921632</v>
      </c>
      <c r="T41" s="4">
        <f t="shared" si="10"/>
        <v>1383.2292445301696</v>
      </c>
    </row>
    <row r="42" spans="1:25" x14ac:dyDescent="0.25">
      <c r="A42" s="41" t="s">
        <v>186</v>
      </c>
      <c r="E42" s="4">
        <f>+E41</f>
        <v>-22000</v>
      </c>
      <c r="F42" s="4">
        <f>+E42+F41</f>
        <v>-19874.905308433194</v>
      </c>
      <c r="G42" s="4">
        <f t="shared" ref="G42:T42" si="11">+F42+G41</f>
        <v>-17900.206185226274</v>
      </c>
      <c r="H42" s="4">
        <f t="shared" si="11"/>
        <v>-16067.055124918032</v>
      </c>
      <c r="I42" s="4">
        <f t="shared" si="11"/>
        <v>-14367.203770883096</v>
      </c>
      <c r="J42" s="4">
        <f t="shared" si="11"/>
        <v>-12792.966485964691</v>
      </c>
      <c r="K42" s="4">
        <f t="shared" si="11"/>
        <v>-11337.186327783658</v>
      </c>
      <c r="L42" s="4">
        <f t="shared" si="11"/>
        <v>-9993.2032796633284</v>
      </c>
      <c r="M42" s="4">
        <f t="shared" si="11"/>
        <v>-8754.8245978038485</v>
      </c>
      <c r="N42" s="4">
        <f t="shared" si="11"/>
        <v>-7616.2971444258274</v>
      </c>
      <c r="O42" s="4">
        <f t="shared" si="11"/>
        <v>-6572.2815851208543</v>
      </c>
      <c r="P42" s="4">
        <f t="shared" si="11"/>
        <v>-5617.8283366323794</v>
      </c>
      <c r="Q42" s="4">
        <f t="shared" si="11"/>
        <v>-4748.3551587787852</v>
      </c>
      <c r="R42" s="4">
        <f t="shared" si="11"/>
        <v>-3170.5301045460565</v>
      </c>
      <c r="S42" s="4">
        <f t="shared" si="11"/>
        <v>-1693.2035469538932</v>
      </c>
      <c r="T42" s="4">
        <f t="shared" si="11"/>
        <v>-309.97430242372366</v>
      </c>
    </row>
    <row r="43" spans="1:25" x14ac:dyDescent="0.25">
      <c r="A43" s="41"/>
    </row>
    <row r="44" spans="1:25" x14ac:dyDescent="0.25">
      <c r="A44" s="42" t="s">
        <v>187</v>
      </c>
      <c r="B44" s="44"/>
      <c r="C44" s="44"/>
      <c r="D44" s="44"/>
      <c r="E44" s="43">
        <f>+NPV(E40,E37:T37)</f>
        <v>-290.23069947660025</v>
      </c>
      <c r="F44" s="44"/>
    </row>
    <row r="45" spans="1:25" x14ac:dyDescent="0.25">
      <c r="A45" s="42" t="s">
        <v>188</v>
      </c>
      <c r="B45" s="44"/>
      <c r="C45" s="44"/>
      <c r="D45" s="44"/>
      <c r="E45" s="45">
        <f>+IRR(E37:T37,10)</f>
        <v>6.5952621109513387E-2</v>
      </c>
      <c r="F45" s="44"/>
    </row>
    <row r="46" spans="1:25" x14ac:dyDescent="0.25">
      <c r="A46" s="42" t="s">
        <v>189</v>
      </c>
      <c r="B46" s="44"/>
      <c r="C46" s="44"/>
      <c r="D46" s="44"/>
      <c r="E46" s="43" cm="1">
        <f t="array" ref="E46">+NPV(E40,E19:T19/-NPV(E40,E31:T31))</f>
        <v>1.0349690504649103</v>
      </c>
      <c r="F46" s="44"/>
    </row>
    <row r="47" spans="1:25" x14ac:dyDescent="0.25">
      <c r="A47" s="42" t="s">
        <v>190</v>
      </c>
      <c r="B47" s="44"/>
      <c r="C47" s="44"/>
      <c r="D47" s="44"/>
      <c r="E47" s="44" cm="1">
        <f t="array" ref="E47">+LOOKUP(INDEX(E38:T38,MATCH(TRUE,E38:T38&gt;0,0)),E38:T38,E9:T9)</f>
        <v>11</v>
      </c>
      <c r="F47" s="44" t="s">
        <v>192</v>
      </c>
    </row>
    <row r="48" spans="1:25" x14ac:dyDescent="0.25">
      <c r="A48" s="42" t="s">
        <v>191</v>
      </c>
      <c r="B48" s="44"/>
      <c r="C48" s="44"/>
      <c r="D48" s="44"/>
      <c r="E48" s="44" t="e" cm="1">
        <f t="array" ref="E48">+LOOKUP(INDEX(E42:T42,MATCH(TRUE,E42:T42&gt;0,0)),E42:T42,E9:T9)</f>
        <v>#N/A</v>
      </c>
      <c r="F48" s="44" t="s">
        <v>192</v>
      </c>
    </row>
    <row r="51" spans="1:26" x14ac:dyDescent="0.25">
      <c r="A51" s="37" t="s">
        <v>175</v>
      </c>
      <c r="B51" s="37"/>
      <c r="C51" s="37"/>
      <c r="D51" s="37"/>
      <c r="E51" s="4">
        <f>IF(E9&lt;&gt;"",E31,"")</f>
        <v>-22000</v>
      </c>
      <c r="F51" s="4">
        <f>IF(F9&lt;&gt;"",F31,"")</f>
        <v>-2427.7810433200111</v>
      </c>
      <c r="G51" s="4">
        <f t="shared" ref="G51:T51" si="12">IF(G9&lt;&gt;"",G31,"")</f>
        <v>-2436.3584624919686</v>
      </c>
      <c r="H51" s="4">
        <f t="shared" si="12"/>
        <v>-2445.9651719645603</v>
      </c>
      <c r="I51" s="4">
        <f t="shared" si="12"/>
        <v>-2456.7246865738634</v>
      </c>
      <c r="J51" s="4">
        <f t="shared" si="12"/>
        <v>-2468.7753429362829</v>
      </c>
      <c r="K51" s="4">
        <f t="shared" si="12"/>
        <v>-2482.2720780621926</v>
      </c>
      <c r="L51" s="4">
        <f t="shared" si="12"/>
        <v>-2497.3884214032114</v>
      </c>
      <c r="M51" s="4">
        <f t="shared" si="12"/>
        <v>-2514.3187259451515</v>
      </c>
      <c r="N51" s="4">
        <f t="shared" si="12"/>
        <v>-2533.2806670321265</v>
      </c>
      <c r="O51" s="4">
        <f t="shared" si="12"/>
        <v>-2554.5180410495364</v>
      </c>
      <c r="P51" s="4">
        <f t="shared" si="12"/>
        <v>-2578.3038999490377</v>
      </c>
      <c r="Q51" s="4">
        <f t="shared" si="12"/>
        <v>-2604.9440619164779</v>
      </c>
      <c r="R51" s="4">
        <f t="shared" si="12"/>
        <v>-778.25775598906012</v>
      </c>
      <c r="S51" s="4">
        <f t="shared" si="12"/>
        <v>-778.25775598906012</v>
      </c>
      <c r="T51" s="4">
        <f t="shared" si="12"/>
        <v>-778.25775598906012</v>
      </c>
      <c r="U51" s="4" t="str">
        <f>IF(U9&lt;&gt;"",U29,"")</f>
        <v/>
      </c>
      <c r="V51" s="4" t="str">
        <f>IF(V9&lt;&gt;"",V29,"")</f>
        <v/>
      </c>
      <c r="W51" s="4" t="str">
        <f>IF(W9&lt;&gt;"",W29,"")</f>
        <v/>
      </c>
      <c r="X51" s="4" t="str">
        <f>IF(X9&lt;&gt;"",X29,"")</f>
        <v/>
      </c>
      <c r="Y51" s="4" t="str">
        <f>IF(Y9&lt;&gt;"",Y29,"")</f>
        <v/>
      </c>
      <c r="Z51" s="4"/>
    </row>
    <row r="52" spans="1:26" x14ac:dyDescent="0.25">
      <c r="A52" s="37" t="s">
        <v>176</v>
      </c>
      <c r="B52" s="37"/>
      <c r="C52" s="37"/>
      <c r="D52" s="37"/>
      <c r="E52" s="4">
        <f>IF(E9&lt;&gt;"",E51*(1+$E$40)^-E9,"")</f>
        <v>-22000</v>
      </c>
      <c r="F52" s="4">
        <f>IF(F9&lt;&gt;"",F51*(1+$E$40)^-F9,"")</f>
        <v>-2273.1451764527737</v>
      </c>
      <c r="G52" s="4">
        <f t="shared" ref="G52:T52" si="13">IF(G9&lt;&gt;"",G51*(1+$E$40)^-G9,"")</f>
        <v>-2135.8782879235305</v>
      </c>
      <c r="H52" s="4">
        <f t="shared" si="13"/>
        <v>-2007.7204398838314</v>
      </c>
      <c r="I52" s="4">
        <f t="shared" si="13"/>
        <v>-1888.109244666306</v>
      </c>
      <c r="J52" s="4">
        <f t="shared" si="13"/>
        <v>-1776.5190020103389</v>
      </c>
      <c r="K52" s="4">
        <f t="shared" si="13"/>
        <v>-1672.4584044488001</v>
      </c>
      <c r="L52" s="4">
        <f t="shared" si="13"/>
        <v>-1575.4683909005082</v>
      </c>
      <c r="M52" s="4">
        <f t="shared" si="13"/>
        <v>-1485.1201391284308</v>
      </c>
      <c r="N52" s="4">
        <f t="shared" si="13"/>
        <v>-1401.0131883233632</v>
      </c>
      <c r="O52" s="4">
        <f t="shared" si="13"/>
        <v>-1322.7736836346369</v>
      </c>
      <c r="P52" s="4">
        <f t="shared" si="13"/>
        <v>-1250.0527349956828</v>
      </c>
      <c r="Q52" s="4">
        <f t="shared" si="13"/>
        <v>-1182.5248830852493</v>
      </c>
      <c r="R52" s="4">
        <f t="shared" si="13"/>
        <v>-330.79047901928476</v>
      </c>
      <c r="S52" s="4">
        <f t="shared" si="13"/>
        <v>-309.72100382286214</v>
      </c>
      <c r="T52" s="4">
        <f t="shared" si="13"/>
        <v>-289.99353455831766</v>
      </c>
      <c r="U52" s="4" t="str">
        <f>IF(U9&lt;&gt;"",U51*(1+UnosPodataka!AB15)^-'FinInd+CO2'!U9,"")</f>
        <v/>
      </c>
      <c r="V52" s="4" t="str">
        <f>IF(V9&lt;&gt;"",V51*(1+UnosPodataka!AC15)^-'FinInd+CO2'!V9,"")</f>
        <v/>
      </c>
      <c r="W52" s="4" t="str">
        <f>IF(W9&lt;&gt;"",W51*(1+UnosPodataka!AD15)^-'FinInd+CO2'!W9,"")</f>
        <v/>
      </c>
      <c r="X52" s="4" t="str">
        <f>IF(X9&lt;&gt;"",X51*(1+UnosPodataka!AE15)^-'FinInd+CO2'!X9,"")</f>
        <v/>
      </c>
      <c r="Y52" s="4" t="str">
        <f>IF(Y9&lt;&gt;"",Y51*(1+UnosPodataka!AF15)^-'FinInd+CO2'!Y9,"")</f>
        <v/>
      </c>
      <c r="Z52" s="4"/>
    </row>
    <row r="53" spans="1:26" x14ac:dyDescent="0.25">
      <c r="A53" s="37" t="s">
        <v>177</v>
      </c>
      <c r="B53" s="37"/>
      <c r="C53" s="37"/>
      <c r="D53" s="37"/>
      <c r="E53" s="4">
        <f>+E52</f>
        <v>-22000</v>
      </c>
      <c r="F53" s="4">
        <f>+E53+F52</f>
        <v>-24273.145176452774</v>
      </c>
      <c r="G53" s="4">
        <f t="shared" ref="G53:T53" si="14">+F53+G52</f>
        <v>-26409.023464376303</v>
      </c>
      <c r="H53" s="4">
        <f t="shared" si="14"/>
        <v>-28416.743904260136</v>
      </c>
      <c r="I53" s="4">
        <f t="shared" si="14"/>
        <v>-30304.853148926442</v>
      </c>
      <c r="J53" s="4">
        <f t="shared" si="14"/>
        <v>-32081.372150936782</v>
      </c>
      <c r="K53" s="4">
        <f t="shared" si="14"/>
        <v>-33753.830555385583</v>
      </c>
      <c r="L53" s="4">
        <f t="shared" si="14"/>
        <v>-35329.298946286093</v>
      </c>
      <c r="M53" s="4">
        <f t="shared" si="14"/>
        <v>-36814.419085414527</v>
      </c>
      <c r="N53" s="4">
        <f t="shared" si="14"/>
        <v>-38215.43227373789</v>
      </c>
      <c r="O53" s="4">
        <f t="shared" si="14"/>
        <v>-39538.205957372527</v>
      </c>
      <c r="P53" s="4">
        <f t="shared" si="14"/>
        <v>-40788.25869236821</v>
      </c>
      <c r="Q53" s="4">
        <f t="shared" si="14"/>
        <v>-41970.783575453461</v>
      </c>
      <c r="R53" s="4">
        <f t="shared" si="14"/>
        <v>-42301.574054472745</v>
      </c>
      <c r="S53" s="4">
        <f t="shared" si="14"/>
        <v>-42611.295058295604</v>
      </c>
      <c r="T53" s="4">
        <f t="shared" si="14"/>
        <v>-42901.288592853918</v>
      </c>
      <c r="U53" s="4" t="str">
        <f>IF(U9&lt;&gt;"",T53+U52,"")</f>
        <v/>
      </c>
      <c r="V53" s="4" t="str">
        <f>IF(V9&lt;&gt;"",U53+V52,"")</f>
        <v/>
      </c>
      <c r="W53" s="4" t="str">
        <f>IF(W9&lt;&gt;"",V53+W52,"")</f>
        <v/>
      </c>
      <c r="X53" s="4" t="str">
        <f>IF(X9&lt;&gt;"",W53+X52,"")</f>
        <v/>
      </c>
      <c r="Y53" s="4" t="str">
        <f>IF(Y9&lt;&gt;"",X53+Y52,"")</f>
        <v/>
      </c>
    </row>
    <row r="54" spans="1:26" x14ac:dyDescent="0.25">
      <c r="A54" s="37" t="s">
        <v>178</v>
      </c>
      <c r="B54" s="37"/>
      <c r="C54" s="37"/>
      <c r="D54" s="37"/>
      <c r="F54" s="4">
        <f t="shared" ref="F54:Y54" si="15">IF(F9&lt;&gt;"",F19,"")</f>
        <v>4814.4792114096508</v>
      </c>
      <c r="G54" s="4">
        <f t="shared" si="15"/>
        <v>4814.4792114096508</v>
      </c>
      <c r="H54" s="4">
        <f t="shared" si="15"/>
        <v>4814.4792114096508</v>
      </c>
      <c r="I54" s="4">
        <f t="shared" si="15"/>
        <v>4814.4792114096508</v>
      </c>
      <c r="J54" s="4">
        <f t="shared" si="15"/>
        <v>4814.4792114096508</v>
      </c>
      <c r="K54" s="4">
        <f t="shared" si="15"/>
        <v>4814.4792114096508</v>
      </c>
      <c r="L54" s="4">
        <f t="shared" si="15"/>
        <v>4814.4792114096508</v>
      </c>
      <c r="M54" s="4">
        <f t="shared" si="15"/>
        <v>4814.4792114096508</v>
      </c>
      <c r="N54" s="4">
        <f t="shared" si="15"/>
        <v>4814.4792114096508</v>
      </c>
      <c r="O54" s="4">
        <f t="shared" si="15"/>
        <v>4814.4792114096508</v>
      </c>
      <c r="P54" s="4">
        <f t="shared" si="15"/>
        <v>4814.4792114096508</v>
      </c>
      <c r="Q54" s="4">
        <f t="shared" si="15"/>
        <v>4814.4792114096508</v>
      </c>
      <c r="R54" s="4">
        <f t="shared" si="15"/>
        <v>4814.4792114096508</v>
      </c>
      <c r="S54" s="4">
        <f t="shared" si="15"/>
        <v>4814.4792114096508</v>
      </c>
      <c r="T54" s="4">
        <f t="shared" si="15"/>
        <v>4814.4792114096508</v>
      </c>
      <c r="U54" s="4" t="str">
        <f t="shared" si="15"/>
        <v/>
      </c>
      <c r="V54" s="4" t="str">
        <f t="shared" si="15"/>
        <v/>
      </c>
      <c r="W54" s="4" t="str">
        <f t="shared" si="15"/>
        <v/>
      </c>
      <c r="X54" s="4" t="str">
        <f t="shared" si="15"/>
        <v/>
      </c>
      <c r="Y54" s="4" t="str">
        <f t="shared" si="15"/>
        <v/>
      </c>
    </row>
    <row r="55" spans="1:26" x14ac:dyDescent="0.25">
      <c r="A55" s="37" t="s">
        <v>179</v>
      </c>
      <c r="B55" s="37"/>
      <c r="C55" s="37"/>
      <c r="D55" s="37"/>
      <c r="F55" s="4">
        <f>IF(F9&lt;&gt;"",F54*(1+$E$40)^-F9,"")</f>
        <v>4507.8242235477601</v>
      </c>
      <c r="G55" s="4">
        <f t="shared" ref="G55:T55" si="16">IF(G9&lt;&gt;"",G54*(1+$E$40)^-G9,"")</f>
        <v>4220.7014171433621</v>
      </c>
      <c r="H55" s="4">
        <f t="shared" si="16"/>
        <v>3951.8667031465807</v>
      </c>
      <c r="I55" s="4">
        <f t="shared" si="16"/>
        <v>3700.1552339157488</v>
      </c>
      <c r="J55" s="4">
        <f t="shared" si="16"/>
        <v>3464.4763559896519</v>
      </c>
      <c r="K55" s="4">
        <f t="shared" si="16"/>
        <v>3243.8088843395358</v>
      </c>
      <c r="L55" s="4">
        <f t="shared" si="16"/>
        <v>3037.1966776244126</v>
      </c>
      <c r="M55" s="4">
        <f t="shared" si="16"/>
        <v>2843.7444952774904</v>
      </c>
      <c r="N55" s="4">
        <f t="shared" si="16"/>
        <v>2662.6141184726634</v>
      </c>
      <c r="O55" s="4">
        <f t="shared" si="16"/>
        <v>2493.0207181634191</v>
      </c>
      <c r="P55" s="4">
        <f t="shared" si="16"/>
        <v>2334.2294544570368</v>
      </c>
      <c r="Q55" s="4">
        <f t="shared" si="16"/>
        <v>2185.5522925893456</v>
      </c>
      <c r="R55" s="4">
        <f t="shared" si="16"/>
        <v>2046.3450217038035</v>
      </c>
      <c r="S55" s="4">
        <f t="shared" si="16"/>
        <v>1916.0044635174311</v>
      </c>
      <c r="T55" s="4">
        <f t="shared" si="16"/>
        <v>1793.9658587788649</v>
      </c>
      <c r="U55" s="4" t="str">
        <f>IF(U9&lt;&gt;"",U54*(1+UnosPodataka!AB15)^-U9,"")</f>
        <v/>
      </c>
      <c r="V55" s="4" t="str">
        <f>IF(V9&lt;&gt;"",V54*(1+UnosPodataka!AC15)^-V9,"")</f>
        <v/>
      </c>
      <c r="W55" s="4" t="str">
        <f>IF(W9&lt;&gt;"",W54*(1+UnosPodataka!AD15)^-W9,"")</f>
        <v/>
      </c>
      <c r="X55" s="4" t="str">
        <f>IF(X9&lt;&gt;"",X54*(1+UnosPodataka!AE15)^-X9,"")</f>
        <v/>
      </c>
      <c r="Y55" s="4" t="str">
        <f>IF(Y9&lt;&gt;"",Y54*(1+UnosPodataka!AF15)^-Y9,"")</f>
        <v/>
      </c>
    </row>
    <row r="56" spans="1:26" x14ac:dyDescent="0.25">
      <c r="A56" s="37" t="s">
        <v>180</v>
      </c>
      <c r="B56" s="37"/>
      <c r="C56" s="37"/>
      <c r="D56" s="37"/>
      <c r="F56" s="4">
        <f t="shared" ref="F56:Y56" si="17">IF(F9&lt;&gt;"",E56+F55,"")</f>
        <v>4507.8242235477601</v>
      </c>
      <c r="G56" s="4">
        <f t="shared" si="17"/>
        <v>8728.5256406911212</v>
      </c>
      <c r="H56" s="4">
        <f t="shared" si="17"/>
        <v>12680.392343837702</v>
      </c>
      <c r="I56" s="4">
        <f t="shared" si="17"/>
        <v>16380.547577753452</v>
      </c>
      <c r="J56" s="4">
        <f t="shared" si="17"/>
        <v>19845.023933743105</v>
      </c>
      <c r="K56" s="4">
        <f t="shared" si="17"/>
        <v>23088.832818082639</v>
      </c>
      <c r="L56" s="4">
        <f t="shared" si="17"/>
        <v>26126.029495707051</v>
      </c>
      <c r="M56" s="4">
        <f t="shared" si="17"/>
        <v>28969.77399098454</v>
      </c>
      <c r="N56" s="4">
        <f t="shared" si="17"/>
        <v>31632.388109457203</v>
      </c>
      <c r="O56" s="4">
        <f t="shared" si="17"/>
        <v>34125.408827620624</v>
      </c>
      <c r="P56" s="4">
        <f t="shared" si="17"/>
        <v>36459.638282077663</v>
      </c>
      <c r="Q56" s="4">
        <f t="shared" si="17"/>
        <v>38645.190574667009</v>
      </c>
      <c r="R56" s="4">
        <f t="shared" si="17"/>
        <v>40691.535596370813</v>
      </c>
      <c r="S56" s="4">
        <f t="shared" si="17"/>
        <v>42607.540059888248</v>
      </c>
      <c r="T56" s="4">
        <f t="shared" si="17"/>
        <v>44401.505918667113</v>
      </c>
      <c r="U56" s="4" t="str">
        <f t="shared" si="17"/>
        <v/>
      </c>
      <c r="V56" s="4" t="str">
        <f t="shared" si="17"/>
        <v/>
      </c>
      <c r="W56" s="4" t="str">
        <f t="shared" si="17"/>
        <v/>
      </c>
      <c r="X56" s="4" t="str">
        <f t="shared" si="17"/>
        <v/>
      </c>
      <c r="Y56" s="4" t="str">
        <f t="shared" si="17"/>
        <v/>
      </c>
    </row>
    <row r="57" spans="1:26" x14ac:dyDescent="0.25">
      <c r="A57" s="37" t="s">
        <v>181</v>
      </c>
      <c r="B57" s="37"/>
      <c r="C57" s="37"/>
      <c r="D57" s="37"/>
      <c r="F57" s="4">
        <f t="shared" ref="F57:X57" si="18">IF(F9&lt;&gt;"",F56+F53,"")</f>
        <v>-19765.320952905015</v>
      </c>
      <c r="G57" s="4">
        <f t="shared" si="18"/>
        <v>-17680.497823685182</v>
      </c>
      <c r="H57" s="4">
        <f t="shared" si="18"/>
        <v>-15736.351560422434</v>
      </c>
      <c r="I57" s="4">
        <f t="shared" si="18"/>
        <v>-13924.30557117299</v>
      </c>
      <c r="J57" s="4">
        <f t="shared" si="18"/>
        <v>-12236.348217193678</v>
      </c>
      <c r="K57" s="4">
        <f t="shared" si="18"/>
        <v>-10664.997737302943</v>
      </c>
      <c r="L57" s="4">
        <f t="shared" si="18"/>
        <v>-9203.2694505790423</v>
      </c>
      <c r="M57" s="4">
        <f t="shared" si="18"/>
        <v>-7844.6450944299868</v>
      </c>
      <c r="N57" s="4">
        <f t="shared" si="18"/>
        <v>-6583.0441642806873</v>
      </c>
      <c r="O57" s="4">
        <f t="shared" si="18"/>
        <v>-5412.7971297519034</v>
      </c>
      <c r="P57" s="4">
        <f t="shared" si="18"/>
        <v>-4328.6204102905467</v>
      </c>
      <c r="Q57" s="4">
        <f t="shared" si="18"/>
        <v>-3325.5930007864517</v>
      </c>
      <c r="R57" s="4">
        <f t="shared" si="18"/>
        <v>-1610.0384581019316</v>
      </c>
      <c r="S57" s="4">
        <f t="shared" si="18"/>
        <v>-3.7549984073557425</v>
      </c>
      <c r="T57" s="4">
        <f t="shared" si="18"/>
        <v>1500.2173258131952</v>
      </c>
      <c r="U57" s="4" t="str">
        <f t="shared" si="18"/>
        <v/>
      </c>
      <c r="V57" s="4" t="str">
        <f t="shared" si="18"/>
        <v/>
      </c>
      <c r="W57" s="4" t="str">
        <f t="shared" si="18"/>
        <v/>
      </c>
      <c r="X57" s="4" t="str">
        <f t="shared" si="18"/>
        <v/>
      </c>
    </row>
    <row r="58" spans="1:26" x14ac:dyDescent="0.25">
      <c r="A58" s="40" t="s">
        <v>182</v>
      </c>
      <c r="B58" s="40"/>
      <c r="C58" s="40"/>
      <c r="D58" s="40"/>
      <c r="E58" s="44"/>
      <c r="F58" s="46">
        <f>-F51/F14</f>
        <v>40.905576745844456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60" spans="1:26" x14ac:dyDescent="0.25">
      <c r="A60" s="62" t="s">
        <v>123</v>
      </c>
      <c r="B60" s="62"/>
      <c r="C60" s="62"/>
      <c r="D60" s="62"/>
      <c r="E60" s="4">
        <f>E11</f>
        <v>11500</v>
      </c>
      <c r="F60" s="4">
        <f t="shared" ref="F60:T60" si="19">IF(F9="",E60,-F53)</f>
        <v>24273.145176452774</v>
      </c>
      <c r="G60" s="4">
        <f t="shared" si="19"/>
        <v>26409.023464376303</v>
      </c>
      <c r="H60" s="4">
        <f t="shared" si="19"/>
        <v>28416.743904260136</v>
      </c>
      <c r="I60" s="4">
        <f t="shared" si="19"/>
        <v>30304.853148926442</v>
      </c>
      <c r="J60" s="4">
        <f t="shared" si="19"/>
        <v>32081.372150936782</v>
      </c>
      <c r="K60" s="4">
        <f t="shared" si="19"/>
        <v>33753.830555385583</v>
      </c>
      <c r="L60" s="4">
        <f t="shared" si="19"/>
        <v>35329.298946286093</v>
      </c>
      <c r="M60" s="4">
        <f t="shared" si="19"/>
        <v>36814.419085414527</v>
      </c>
      <c r="N60" s="4">
        <f t="shared" si="19"/>
        <v>38215.43227373789</v>
      </c>
      <c r="O60" s="4">
        <f t="shared" si="19"/>
        <v>39538.205957372527</v>
      </c>
      <c r="P60" s="4">
        <f t="shared" si="19"/>
        <v>40788.25869236821</v>
      </c>
      <c r="Q60" s="4">
        <f t="shared" si="19"/>
        <v>41970.783575453461</v>
      </c>
      <c r="R60" s="4">
        <f t="shared" si="19"/>
        <v>42301.574054472745</v>
      </c>
      <c r="S60" s="4">
        <f t="shared" si="19"/>
        <v>42611.295058295604</v>
      </c>
      <c r="T60" s="4">
        <f t="shared" si="19"/>
        <v>42901.288592853918</v>
      </c>
      <c r="U60" s="4"/>
      <c r="V60" s="4"/>
      <c r="W60" s="4"/>
      <c r="X60" s="4"/>
      <c r="Y60" s="4"/>
    </row>
    <row r="61" spans="1:26" x14ac:dyDescent="0.25">
      <c r="A61" s="62" t="s">
        <v>124</v>
      </c>
      <c r="B61" s="62"/>
      <c r="C61" s="62"/>
      <c r="D61" s="62"/>
      <c r="F61" s="4">
        <f t="shared" ref="F61:T61" si="20">IF(F9="",E61,F56)</f>
        <v>4507.8242235477601</v>
      </c>
      <c r="G61" s="4">
        <f t="shared" si="20"/>
        <v>8728.5256406911212</v>
      </c>
      <c r="H61" s="4">
        <f t="shared" si="20"/>
        <v>12680.392343837702</v>
      </c>
      <c r="I61" s="4">
        <f t="shared" si="20"/>
        <v>16380.547577753452</v>
      </c>
      <c r="J61" s="4">
        <f t="shared" si="20"/>
        <v>19845.023933743105</v>
      </c>
      <c r="K61" s="4">
        <f t="shared" si="20"/>
        <v>23088.832818082639</v>
      </c>
      <c r="L61" s="4">
        <f t="shared" si="20"/>
        <v>26126.029495707051</v>
      </c>
      <c r="M61" s="4">
        <f t="shared" si="20"/>
        <v>28969.77399098454</v>
      </c>
      <c r="N61" s="4">
        <f t="shared" si="20"/>
        <v>31632.388109457203</v>
      </c>
      <c r="O61" s="4">
        <f t="shared" si="20"/>
        <v>34125.408827620624</v>
      </c>
      <c r="P61" s="4">
        <f t="shared" si="20"/>
        <v>36459.638282077663</v>
      </c>
      <c r="Q61" s="4">
        <f t="shared" si="20"/>
        <v>38645.190574667009</v>
      </c>
      <c r="R61" s="4">
        <f t="shared" si="20"/>
        <v>40691.535596370813</v>
      </c>
      <c r="S61" s="4">
        <f t="shared" si="20"/>
        <v>42607.540059888248</v>
      </c>
      <c r="T61" s="4">
        <f t="shared" si="20"/>
        <v>44401.505918667113</v>
      </c>
      <c r="U61" s="4"/>
      <c r="V61" s="4"/>
      <c r="W61" s="4"/>
      <c r="X61" s="4"/>
      <c r="Y61" s="4"/>
    </row>
  </sheetData>
  <sheetProtection selectLockedCells="1"/>
  <mergeCells count="28">
    <mergeCell ref="N7:O7"/>
    <mergeCell ref="A14:D14"/>
    <mergeCell ref="A7:D7"/>
    <mergeCell ref="A9:D9"/>
    <mergeCell ref="A11:D11"/>
    <mergeCell ref="A12:D12"/>
    <mergeCell ref="A13:D13"/>
    <mergeCell ref="A32:D32"/>
    <mergeCell ref="I7:J7"/>
    <mergeCell ref="A16:D16"/>
    <mergeCell ref="A21:D21"/>
    <mergeCell ref="A27:D27"/>
    <mergeCell ref="E3:H3"/>
    <mergeCell ref="A61:D61"/>
    <mergeCell ref="A18:D18"/>
    <mergeCell ref="A60:D60"/>
    <mergeCell ref="A33:D33"/>
    <mergeCell ref="A34:D34"/>
    <mergeCell ref="A35:D35"/>
    <mergeCell ref="A17:D17"/>
    <mergeCell ref="A19:D19"/>
    <mergeCell ref="A20:D20"/>
    <mergeCell ref="A22:D22"/>
    <mergeCell ref="A24:D24"/>
    <mergeCell ref="A25:D25"/>
    <mergeCell ref="A26:D26"/>
    <mergeCell ref="A28:D28"/>
    <mergeCell ref="A29:D29"/>
  </mergeCells>
  <dataValidations count="2">
    <dataValidation allowBlank="1" showInputMessage="1" showErrorMessage="1" promptTitle="BrutoDobit" prompt="Bruto dobit prema Bilansu uspeha, ne obuhvata otplatu glavice." sqref="A32:D32" xr:uid="{1E7EF124-D44F-4CE0-80D7-74D03F077D90}"/>
    <dataValidation allowBlank="1" showInputMessage="1" showErrorMessage="1" promptTitle="CashFlow" prompt="Ne obuhvata amortizaciju, ali obuhvata otplatu glavnice." sqref="A37" xr:uid="{F6EE3E30-D13B-404F-A053-B2AEA9771E2C}"/>
  </dataValidations>
  <hyperlinks>
    <hyperlink ref="I7:J7" location="FinaIndicators!I1" display="NAZAD" xr:uid="{00000000-0004-0000-0600-000000000000}"/>
    <hyperlink ref="N7:O7" location="GraphFina!A1" display="DALJE" xr:uid="{00000000-0004-0000-0600-000001000000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3:I12"/>
  <sheetViews>
    <sheetView workbookViewId="0">
      <selection activeCell="H6" sqref="H6"/>
    </sheetView>
  </sheetViews>
  <sheetFormatPr defaultRowHeight="15" x14ac:dyDescent="0.25"/>
  <sheetData>
    <row r="3" spans="1:9" ht="16.5" x14ac:dyDescent="0.35">
      <c r="F3" s="55" t="s">
        <v>163</v>
      </c>
      <c r="G3" s="55"/>
      <c r="H3" s="55"/>
      <c r="I3" s="55"/>
    </row>
    <row r="7" spans="1:9" ht="15" customHeight="1" x14ac:dyDescent="0.25">
      <c r="A7" s="57" t="s">
        <v>129</v>
      </c>
      <c r="B7" s="57"/>
      <c r="C7" s="57"/>
      <c r="D7" s="57"/>
    </row>
    <row r="8" spans="1:9" ht="15" customHeight="1" x14ac:dyDescent="0.25">
      <c r="A8" s="57"/>
      <c r="B8" s="57"/>
      <c r="C8" s="57"/>
      <c r="D8" s="57"/>
    </row>
    <row r="9" spans="1:9" x14ac:dyDescent="0.25">
      <c r="A9" s="57"/>
      <c r="B9" s="57"/>
      <c r="C9" s="57"/>
      <c r="D9" s="57"/>
    </row>
    <row r="11" spans="1:9" x14ac:dyDescent="0.25">
      <c r="A11" s="59" t="s">
        <v>143</v>
      </c>
      <c r="B11" s="59"/>
      <c r="C11" s="60" t="s">
        <v>144</v>
      </c>
      <c r="D11" s="60"/>
    </row>
    <row r="12" spans="1:9" x14ac:dyDescent="0.25">
      <c r="A12" s="59"/>
      <c r="B12" s="59"/>
      <c r="C12" s="60"/>
      <c r="D12" s="60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 xr:uid="{00000000-0004-0000-0700-000000000000}"/>
    <hyperlink ref="C11:D12" location="GraphEcon!A1" display="DALJE" xr:uid="{00000000-0004-0000-0700-000001000000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3:I12"/>
  <sheetViews>
    <sheetView workbookViewId="0">
      <selection activeCell="L33" sqref="L33"/>
    </sheetView>
  </sheetViews>
  <sheetFormatPr defaultRowHeight="15" x14ac:dyDescent="0.25"/>
  <sheetData>
    <row r="3" spans="1:9" ht="16.5" x14ac:dyDescent="0.35">
      <c r="F3" s="55" t="s">
        <v>163</v>
      </c>
      <c r="G3" s="55"/>
      <c r="H3" s="55"/>
      <c r="I3" s="55"/>
    </row>
    <row r="7" spans="1:9" ht="15" customHeight="1" x14ac:dyDescent="0.25">
      <c r="A7" s="57" t="s">
        <v>130</v>
      </c>
      <c r="B7" s="57"/>
      <c r="C7" s="57"/>
      <c r="D7" s="57"/>
    </row>
    <row r="8" spans="1:9" ht="15" customHeight="1" x14ac:dyDescent="0.25">
      <c r="A8" s="57"/>
      <c r="B8" s="57"/>
      <c r="C8" s="57"/>
      <c r="D8" s="57"/>
    </row>
    <row r="9" spans="1:9" x14ac:dyDescent="0.25">
      <c r="A9" s="57"/>
      <c r="B9" s="57"/>
      <c r="C9" s="57"/>
      <c r="D9" s="57"/>
    </row>
    <row r="11" spans="1:9" x14ac:dyDescent="0.25">
      <c r="A11" s="59" t="s">
        <v>143</v>
      </c>
      <c r="B11" s="59"/>
      <c r="C11" s="60" t="s">
        <v>144</v>
      </c>
      <c r="D11" s="60"/>
    </row>
    <row r="12" spans="1:9" x14ac:dyDescent="0.25">
      <c r="A12" s="59"/>
      <c r="B12" s="59"/>
      <c r="C12" s="60"/>
      <c r="D12" s="60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 xr:uid="{00000000-0004-0000-0800-000000000000}"/>
    <hyperlink ref="C11:D12" location="LCoEE!A1" display="DALJE" xr:uid="{00000000-0004-0000-0800-000001000000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8</vt:i4>
      </vt:variant>
    </vt:vector>
  </HeadingPairs>
  <TitlesOfParts>
    <vt:vector size="22" baseType="lpstr">
      <vt:lpstr>Pocetna</vt:lpstr>
      <vt:lpstr>PomTab1</vt:lpstr>
      <vt:lpstr>UnosPodataka</vt:lpstr>
      <vt:lpstr>Ustede</vt:lpstr>
      <vt:lpstr>Annuity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EQUITY</vt:lpstr>
      <vt:lpstr>FIRR</vt:lpstr>
      <vt:lpstr>FNPV</vt:lpstr>
      <vt:lpstr>Investment</vt:lpstr>
      <vt:lpstr>LCOEE</vt:lpstr>
      <vt:lpstr>LOAN</vt:lpstr>
      <vt:lpstr>PROJEKAT</vt:lpstr>
      <vt:lpstr>VARIJANTA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Miroslav</cp:lastModifiedBy>
  <dcterms:created xsi:type="dcterms:W3CDTF">2022-05-19T14:49:19Z</dcterms:created>
  <dcterms:modified xsi:type="dcterms:W3CDTF">2023-07-11T08:54:53Z</dcterms:modified>
</cp:coreProperties>
</file>