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3" activeTab="14"/>
  </bookViews>
  <sheets>
    <sheet name="Pocetna" sheetId="1" r:id="rId1"/>
    <sheet name="KonvFaktor" sheetId="17" r:id="rId2"/>
    <sheet name="PomTab1" sheetId="4" r:id="rId3"/>
    <sheet name="UnosPodataka" sheetId="2" r:id="rId4"/>
    <sheet name="EnergyCosts" sheetId="5" r:id="rId5"/>
    <sheet name="Annuity" sheetId="6" r:id="rId6"/>
    <sheet name="FinaIndicators" sheetId="7" r:id="rId7"/>
    <sheet name="FinInd+CO2" sheetId="9" r:id="rId8"/>
    <sheet name="Graph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8" state="hidden" r:id="rId16"/>
  </sheets>
  <definedNames>
    <definedName name="CARBON">EnergyCosts!$J$23</definedName>
    <definedName name="CERT">EnergyCosts!$L$22</definedName>
    <definedName name="CO2Tax" comment="EU ETR cena 11. aprila 2023. godine iznosila je 97.,44 €/t">UnosPodataka!$M$13</definedName>
    <definedName name="ECONS">EnergyCosts!$J$17</definedName>
    <definedName name="EPOW" comment="Elektromotorni pogoni">EnergyCosts!$J$15</definedName>
    <definedName name="EPrice">EnergyCosts!$J$10</definedName>
    <definedName name="Equity">UnosPodataka!$F$30</definedName>
    <definedName name="eta">EnergyCosts!$J$12</definedName>
    <definedName name="etagrid">EnergyCosts!$J$13</definedName>
    <definedName name="FDS">PomTab1!$L$27</definedName>
    <definedName name="FIRR">FinaIndicators!$E$46</definedName>
    <definedName name="FNPV">FinaIndicators!$E$45</definedName>
    <definedName name="HEAT">EnergyCosts!$J$9</definedName>
    <definedName name="HPCAP">EnergyCosts!$J$14</definedName>
    <definedName name="HPrice">EnergyCosts!$J$11</definedName>
    <definedName name="InfRate" comment="Inflacija">0</definedName>
    <definedName name="Investment">UnosPodataka!$F$23</definedName>
    <definedName name="Kurs_EUR" comment="Obračunski kurs EUR na dan 11. april 2023.">117.288</definedName>
    <definedName name="LCoE">LCoEE!$E$24</definedName>
    <definedName name="Loan">UnosPodataka!$F$33</definedName>
    <definedName name="PDV" comment="Porez na dodatu vrednost (opšti)">0.2</definedName>
    <definedName name="PROJEKAT">Pocetna!$M$13</definedName>
    <definedName name="VAT" comment="Porez na poslovanje kompanije">0.15</definedName>
    <definedName name="WCONS">EnergyCosts!$J$18</definedName>
    <definedName name="WHOUR">EnergyCosts!$J$16</definedName>
    <definedName name="WPRICE">EnergyCosts!$J$19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7" l="1"/>
  <c r="D16" i="17"/>
  <c r="D15" i="17"/>
  <c r="D14" i="17"/>
  <c r="D13" i="17"/>
  <c r="D12" i="17"/>
  <c r="C18" i="17" l="1"/>
  <c r="E17" i="17"/>
  <c r="E16" i="17"/>
  <c r="E15" i="17"/>
  <c r="E14" i="17"/>
  <c r="E13" i="17"/>
  <c r="E12" i="17"/>
  <c r="E18" i="17" l="1"/>
  <c r="E21" i="17" s="1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U25" i="9"/>
  <c r="V25" i="9"/>
  <c r="W25" i="9"/>
  <c r="X25" i="9"/>
  <c r="Y25" i="9"/>
  <c r="T25" i="9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U22" i="7"/>
  <c r="V22" i="7"/>
  <c r="W22" i="7"/>
  <c r="X22" i="7"/>
  <c r="Y22" i="7"/>
  <c r="F23" i="2"/>
  <c r="E13" i="7"/>
  <c r="E12" i="16"/>
  <c r="E9" i="16"/>
  <c r="F10" i="14"/>
  <c r="G10" i="14" s="1"/>
  <c r="H10" i="14" s="1"/>
  <c r="I10" i="14" s="1"/>
  <c r="F10" i="12"/>
  <c r="F29" i="9"/>
  <c r="F26" i="9"/>
  <c r="E13" i="9"/>
  <c r="E12" i="9"/>
  <c r="G9" i="9"/>
  <c r="H9" i="9" s="1"/>
  <c r="I9" i="9" s="1"/>
  <c r="F27" i="7"/>
  <c r="F24" i="7"/>
  <c r="E12" i="7"/>
  <c r="G9" i="7"/>
  <c r="H9" i="7" s="1"/>
  <c r="B14" i="6"/>
  <c r="B15" i="6" s="1"/>
  <c r="J9" i="5"/>
  <c r="E10" i="16"/>
  <c r="L26" i="4"/>
  <c r="K26" i="4"/>
  <c r="L25" i="4"/>
  <c r="C25" i="4"/>
  <c r="K24" i="4"/>
  <c r="Q39" i="4" l="1"/>
  <c r="M27" i="2" s="1"/>
  <c r="V16" i="9" s="1"/>
  <c r="G11" i="2"/>
  <c r="G15" i="2"/>
  <c r="G19" i="2"/>
  <c r="G26" i="2"/>
  <c r="F28" i="7"/>
  <c r="F30" i="9"/>
  <c r="G12" i="2"/>
  <c r="G16" i="2"/>
  <c r="G20" i="2"/>
  <c r="G23" i="2"/>
  <c r="G9" i="2"/>
  <c r="G13" i="2"/>
  <c r="G17" i="2"/>
  <c r="G21" i="2"/>
  <c r="F24" i="2"/>
  <c r="G30" i="2"/>
  <c r="F25" i="7"/>
  <c r="F27" i="9"/>
  <c r="F12" i="12"/>
  <c r="G10" i="2"/>
  <c r="G14" i="2"/>
  <c r="G18" i="2"/>
  <c r="G22" i="2"/>
  <c r="G25" i="2"/>
  <c r="F31" i="2"/>
  <c r="F33" i="2" s="1"/>
  <c r="F17" i="12"/>
  <c r="B16" i="6"/>
  <c r="X14" i="7"/>
  <c r="X18" i="7" s="1"/>
  <c r="X19" i="7" s="1"/>
  <c r="T14" i="7"/>
  <c r="T18" i="7" s="1"/>
  <c r="T19" i="7" s="1"/>
  <c r="P14" i="7"/>
  <c r="P18" i="7" s="1"/>
  <c r="P19" i="7" s="1"/>
  <c r="L14" i="7"/>
  <c r="L18" i="7" s="1"/>
  <c r="L19" i="7" s="1"/>
  <c r="H14" i="7"/>
  <c r="H18" i="7" s="1"/>
  <c r="H19" i="7" s="1"/>
  <c r="H55" i="7" s="1"/>
  <c r="H56" i="7" s="1"/>
  <c r="F14" i="9"/>
  <c r="V14" i="7"/>
  <c r="V18" i="7" s="1"/>
  <c r="V19" i="7" s="1"/>
  <c r="R14" i="7"/>
  <c r="R18" i="7" s="1"/>
  <c r="R19" i="7" s="1"/>
  <c r="N14" i="7"/>
  <c r="N18" i="7" s="1"/>
  <c r="N19" i="7" s="1"/>
  <c r="J14" i="7"/>
  <c r="J18" i="7" s="1"/>
  <c r="J19" i="7" s="1"/>
  <c r="F14" i="7"/>
  <c r="F18" i="7" s="1"/>
  <c r="H28" i="7"/>
  <c r="H27" i="7"/>
  <c r="I9" i="7"/>
  <c r="G14" i="7"/>
  <c r="G18" i="7" s="1"/>
  <c r="G19" i="7" s="1"/>
  <c r="G55" i="7" s="1"/>
  <c r="G56" i="7" s="1"/>
  <c r="O14" i="7"/>
  <c r="O18" i="7" s="1"/>
  <c r="O19" i="7" s="1"/>
  <c r="W14" i="7"/>
  <c r="W18" i="7" s="1"/>
  <c r="W19" i="7" s="1"/>
  <c r="H25" i="7"/>
  <c r="I14" i="7"/>
  <c r="I18" i="7" s="1"/>
  <c r="I19" i="7" s="1"/>
  <c r="Q14" i="7"/>
  <c r="Q18" i="7" s="1"/>
  <c r="Q19" i="7" s="1"/>
  <c r="Y14" i="7"/>
  <c r="Y18" i="7" s="1"/>
  <c r="Y19" i="7" s="1"/>
  <c r="I27" i="9"/>
  <c r="J9" i="9"/>
  <c r="I29" i="9"/>
  <c r="I14" i="9"/>
  <c r="I30" i="9"/>
  <c r="I26" i="9"/>
  <c r="J17" i="5"/>
  <c r="I15" i="9" s="1"/>
  <c r="K14" i="7"/>
  <c r="K18" i="7" s="1"/>
  <c r="K19" i="7" s="1"/>
  <c r="S14" i="7"/>
  <c r="S18" i="7" s="1"/>
  <c r="S19" i="7" s="1"/>
  <c r="H24" i="7"/>
  <c r="M14" i="7"/>
  <c r="M18" i="7" s="1"/>
  <c r="M19" i="7" s="1"/>
  <c r="U14" i="7"/>
  <c r="U18" i="7" s="1"/>
  <c r="U19" i="7" s="1"/>
  <c r="G24" i="7"/>
  <c r="G25" i="7"/>
  <c r="G27" i="7"/>
  <c r="G28" i="7"/>
  <c r="H30" i="9"/>
  <c r="H29" i="9"/>
  <c r="H27" i="9"/>
  <c r="H26" i="9"/>
  <c r="H14" i="9"/>
  <c r="G29" i="9"/>
  <c r="G27" i="9"/>
  <c r="G14" i="9"/>
  <c r="G19" i="9" s="1"/>
  <c r="G31" i="9" s="1"/>
  <c r="G26" i="9"/>
  <c r="G30" i="9"/>
  <c r="G10" i="12"/>
  <c r="J10" i="14"/>
  <c r="O16" i="9" l="1"/>
  <c r="L16" i="9"/>
  <c r="I16" i="9"/>
  <c r="I20" i="9" s="1"/>
  <c r="Y16" i="9"/>
  <c r="F16" i="9"/>
  <c r="S16" i="9"/>
  <c r="P16" i="9"/>
  <c r="M16" i="9"/>
  <c r="J16" i="9"/>
  <c r="W16" i="9"/>
  <c r="N16" i="9"/>
  <c r="G16" i="9"/>
  <c r="T16" i="9"/>
  <c r="Q16" i="9"/>
  <c r="K16" i="9"/>
  <c r="H16" i="9"/>
  <c r="X16" i="9"/>
  <c r="U16" i="9"/>
  <c r="R16" i="9"/>
  <c r="G28" i="9"/>
  <c r="H26" i="7"/>
  <c r="F21" i="12"/>
  <c r="H28" i="9"/>
  <c r="G15" i="9"/>
  <c r="G20" i="9" s="1"/>
  <c r="G21" i="9" s="1"/>
  <c r="H29" i="7"/>
  <c r="H12" i="14" s="1"/>
  <c r="H13" i="14" s="1"/>
  <c r="H15" i="9"/>
  <c r="G26" i="7"/>
  <c r="G29" i="7"/>
  <c r="G12" i="14" s="1"/>
  <c r="G13" i="14" s="1"/>
  <c r="E13" i="16"/>
  <c r="E11" i="9"/>
  <c r="E11" i="7"/>
  <c r="E9" i="6"/>
  <c r="G33" i="2"/>
  <c r="K25" i="4"/>
  <c r="E11" i="16"/>
  <c r="H10" i="12"/>
  <c r="G21" i="12"/>
  <c r="I55" i="7"/>
  <c r="I56" i="7" s="1"/>
  <c r="I29" i="7"/>
  <c r="I12" i="14" s="1"/>
  <c r="I13" i="14" s="1"/>
  <c r="I28" i="7"/>
  <c r="I27" i="7"/>
  <c r="I26" i="7"/>
  <c r="I25" i="7"/>
  <c r="I24" i="7"/>
  <c r="J9" i="7"/>
  <c r="B17" i="6"/>
  <c r="F15" i="9"/>
  <c r="F28" i="9"/>
  <c r="X15" i="7"/>
  <c r="T15" i="7"/>
  <c r="P15" i="7"/>
  <c r="L15" i="7"/>
  <c r="H15" i="7"/>
  <c r="V15" i="7"/>
  <c r="R15" i="7"/>
  <c r="N15" i="7"/>
  <c r="J15" i="7"/>
  <c r="F15" i="7"/>
  <c r="Y15" i="7"/>
  <c r="Q15" i="7"/>
  <c r="I15" i="7"/>
  <c r="W15" i="7"/>
  <c r="O15" i="7"/>
  <c r="G15" i="7"/>
  <c r="F26" i="7"/>
  <c r="U15" i="7"/>
  <c r="M15" i="7"/>
  <c r="S15" i="7"/>
  <c r="K15" i="7"/>
  <c r="J30" i="9"/>
  <c r="J28" i="9"/>
  <c r="J29" i="9"/>
  <c r="J15" i="9"/>
  <c r="J26" i="9"/>
  <c r="J27" i="9"/>
  <c r="K9" i="9"/>
  <c r="J14" i="9"/>
  <c r="J19" i="9" s="1"/>
  <c r="F29" i="7"/>
  <c r="F12" i="14" s="1"/>
  <c r="F19" i="7"/>
  <c r="F19" i="9"/>
  <c r="K10" i="14"/>
  <c r="H19" i="9"/>
  <c r="I19" i="9"/>
  <c r="I28" i="9"/>
  <c r="H20" i="9" l="1"/>
  <c r="H21" i="9" s="1"/>
  <c r="G22" i="12"/>
  <c r="E13" i="6"/>
  <c r="G13" i="6" s="1"/>
  <c r="D13" i="6"/>
  <c r="C13" i="6"/>
  <c r="E15" i="6"/>
  <c r="E14" i="6"/>
  <c r="E16" i="6"/>
  <c r="K27" i="4"/>
  <c r="L27" i="4" s="1"/>
  <c r="E34" i="9"/>
  <c r="E40" i="9"/>
  <c r="E32" i="9"/>
  <c r="E55" i="9" s="1"/>
  <c r="E30" i="7"/>
  <c r="E32" i="7"/>
  <c r="E38" i="7"/>
  <c r="H31" i="9"/>
  <c r="F20" i="9"/>
  <c r="E29" i="12" s="1"/>
  <c r="F22" i="12"/>
  <c r="F13" i="14"/>
  <c r="K29" i="9"/>
  <c r="K15" i="9"/>
  <c r="K14" i="9"/>
  <c r="K26" i="9"/>
  <c r="K30" i="9"/>
  <c r="K27" i="9"/>
  <c r="K28" i="9"/>
  <c r="L9" i="9"/>
  <c r="J31" i="9"/>
  <c r="F31" i="9"/>
  <c r="B18" i="6"/>
  <c r="E17" i="6"/>
  <c r="J55" i="7"/>
  <c r="J56" i="7" s="1"/>
  <c r="J29" i="7"/>
  <c r="J12" i="14" s="1"/>
  <c r="J13" i="14" s="1"/>
  <c r="J28" i="7"/>
  <c r="J27" i="7"/>
  <c r="J26" i="7"/>
  <c r="K9" i="7"/>
  <c r="J24" i="7"/>
  <c r="J25" i="7"/>
  <c r="I21" i="9"/>
  <c r="I31" i="9"/>
  <c r="L10" i="14"/>
  <c r="F55" i="7"/>
  <c r="F56" i="7" s="1"/>
  <c r="J20" i="9"/>
  <c r="J21" i="9" s="1"/>
  <c r="H22" i="12"/>
  <c r="H21" i="12"/>
  <c r="I10" i="12"/>
  <c r="E52" i="7" l="1"/>
  <c r="E53" i="7" s="1"/>
  <c r="E54" i="7" s="1"/>
  <c r="F21" i="9"/>
  <c r="K20" i="9"/>
  <c r="C14" i="6"/>
  <c r="D14" i="6" s="1"/>
  <c r="C15" i="6" s="1"/>
  <c r="E43" i="9"/>
  <c r="E56" i="9" s="1"/>
  <c r="E57" i="9" s="1"/>
  <c r="E62" i="9" s="1"/>
  <c r="E41" i="7"/>
  <c r="E39" i="7"/>
  <c r="E41" i="9"/>
  <c r="F22" i="7"/>
  <c r="F24" i="9"/>
  <c r="I21" i="12"/>
  <c r="J10" i="12"/>
  <c r="I22" i="12"/>
  <c r="F62" i="7"/>
  <c r="F57" i="7"/>
  <c r="K55" i="7"/>
  <c r="K56" i="7" s="1"/>
  <c r="K29" i="7"/>
  <c r="K12" i="14" s="1"/>
  <c r="K13" i="14" s="1"/>
  <c r="K28" i="7"/>
  <c r="K27" i="7"/>
  <c r="K26" i="7"/>
  <c r="K25" i="7"/>
  <c r="K24" i="7"/>
  <c r="L9" i="7"/>
  <c r="B19" i="6"/>
  <c r="E18" i="6"/>
  <c r="K19" i="9"/>
  <c r="L30" i="9"/>
  <c r="L29" i="9"/>
  <c r="L28" i="9"/>
  <c r="L27" i="9"/>
  <c r="L26" i="9"/>
  <c r="L15" i="9"/>
  <c r="L14" i="9"/>
  <c r="M9" i="9"/>
  <c r="M10" i="14"/>
  <c r="G14" i="6" l="1"/>
  <c r="E42" i="7"/>
  <c r="E43" i="7" s="1"/>
  <c r="E44" i="9"/>
  <c r="E45" i="9" s="1"/>
  <c r="I53" i="9"/>
  <c r="H53" i="9"/>
  <c r="J53" i="9"/>
  <c r="F53" i="9"/>
  <c r="L20" i="9"/>
  <c r="F32" i="9"/>
  <c r="L19" i="9"/>
  <c r="L31" i="9" s="1"/>
  <c r="F30" i="7"/>
  <c r="E58" i="7"/>
  <c r="E61" i="7"/>
  <c r="D15" i="6"/>
  <c r="G22" i="7"/>
  <c r="G24" i="9"/>
  <c r="G53" i="9"/>
  <c r="E53" i="9"/>
  <c r="E54" i="9" s="1"/>
  <c r="M26" i="9"/>
  <c r="N9" i="9"/>
  <c r="M30" i="9"/>
  <c r="M27" i="9"/>
  <c r="M28" i="9"/>
  <c r="M15" i="9"/>
  <c r="M14" i="9"/>
  <c r="M19" i="9" s="1"/>
  <c r="M29" i="9"/>
  <c r="K21" i="9"/>
  <c r="K31" i="9"/>
  <c r="G57" i="7"/>
  <c r="N10" i="14"/>
  <c r="B20" i="6"/>
  <c r="E19" i="6"/>
  <c r="J21" i="12"/>
  <c r="J22" i="12"/>
  <c r="K10" i="12"/>
  <c r="L29" i="7"/>
  <c r="L12" i="14" s="1"/>
  <c r="L28" i="7"/>
  <c r="L27" i="7"/>
  <c r="L55" i="7"/>
  <c r="L56" i="7" s="1"/>
  <c r="M9" i="7"/>
  <c r="L26" i="7"/>
  <c r="L25" i="7"/>
  <c r="L24" i="7"/>
  <c r="G30" i="7" l="1"/>
  <c r="C16" i="6"/>
  <c r="G15" i="6"/>
  <c r="F33" i="7"/>
  <c r="F35" i="7" s="1"/>
  <c r="F54" i="9"/>
  <c r="F63" i="9" s="1"/>
  <c r="L21" i="9"/>
  <c r="L53" i="9" s="1"/>
  <c r="F35" i="9"/>
  <c r="F37" i="9" s="1"/>
  <c r="F34" i="9" s="1"/>
  <c r="F55" i="9" s="1"/>
  <c r="F56" i="9" s="1"/>
  <c r="F57" i="9" s="1"/>
  <c r="F59" i="9"/>
  <c r="E28" i="12" s="1"/>
  <c r="D16" i="6"/>
  <c r="G32" i="9"/>
  <c r="G35" i="9" s="1"/>
  <c r="H24" i="9"/>
  <c r="H32" i="9" s="1"/>
  <c r="H35" i="9" s="1"/>
  <c r="H37" i="9" s="1"/>
  <c r="H34" i="9" s="1"/>
  <c r="H55" i="9" s="1"/>
  <c r="H56" i="9" s="1"/>
  <c r="H22" i="7"/>
  <c r="E63" i="9"/>
  <c r="E58" i="9"/>
  <c r="H57" i="7"/>
  <c r="G62" i="7"/>
  <c r="M31" i="9"/>
  <c r="N30" i="9"/>
  <c r="N27" i="9"/>
  <c r="N28" i="9"/>
  <c r="N15" i="9"/>
  <c r="N29" i="9"/>
  <c r="N26" i="9"/>
  <c r="O9" i="9"/>
  <c r="N14" i="9"/>
  <c r="K21" i="12"/>
  <c r="K22" i="12"/>
  <c r="L10" i="12"/>
  <c r="B21" i="6"/>
  <c r="E20" i="6"/>
  <c r="K53" i="9"/>
  <c r="M20" i="9"/>
  <c r="M21" i="9" s="1"/>
  <c r="M29" i="7"/>
  <c r="M12" i="14" s="1"/>
  <c r="M13" i="14" s="1"/>
  <c r="M28" i="7"/>
  <c r="M27" i="7"/>
  <c r="M26" i="7"/>
  <c r="M25" i="7"/>
  <c r="M24" i="7"/>
  <c r="M55" i="7"/>
  <c r="M56" i="7" s="1"/>
  <c r="N9" i="7"/>
  <c r="L13" i="14"/>
  <c r="O10" i="14"/>
  <c r="G54" i="9" l="1"/>
  <c r="H54" i="9" s="1"/>
  <c r="I54" i="9" s="1"/>
  <c r="G33" i="7"/>
  <c r="C17" i="6"/>
  <c r="G16" i="6"/>
  <c r="H30" i="7"/>
  <c r="F32" i="7"/>
  <c r="F52" i="7" s="1"/>
  <c r="F59" i="7" s="1"/>
  <c r="E27" i="12" s="1"/>
  <c r="F13" i="12"/>
  <c r="F14" i="12" s="1"/>
  <c r="F36" i="7"/>
  <c r="F38" i="7" s="1"/>
  <c r="F42" i="7" s="1"/>
  <c r="F43" i="7" s="1"/>
  <c r="F18" i="12"/>
  <c r="F19" i="12" s="1"/>
  <c r="F58" i="9"/>
  <c r="F38" i="9"/>
  <c r="F40" i="9" s="1"/>
  <c r="F44" i="9" s="1"/>
  <c r="F45" i="9" s="1"/>
  <c r="F62" i="9"/>
  <c r="G63" i="9"/>
  <c r="I22" i="7"/>
  <c r="I24" i="9"/>
  <c r="I32" i="9" s="1"/>
  <c r="I35" i="9" s="1"/>
  <c r="I37" i="9" s="1"/>
  <c r="I34" i="9" s="1"/>
  <c r="I55" i="9" s="1"/>
  <c r="I56" i="9" s="1"/>
  <c r="D17" i="6"/>
  <c r="G17" i="6" s="1"/>
  <c r="G37" i="9"/>
  <c r="G34" i="9" s="1"/>
  <c r="G55" i="9" s="1"/>
  <c r="G56" i="9" s="1"/>
  <c r="G57" i="9" s="1"/>
  <c r="H57" i="9" s="1"/>
  <c r="M53" i="9"/>
  <c r="N29" i="7"/>
  <c r="N12" i="14" s="1"/>
  <c r="N28" i="7"/>
  <c r="N27" i="7"/>
  <c r="N26" i="7"/>
  <c r="N55" i="7"/>
  <c r="N56" i="7" s="1"/>
  <c r="O9" i="7"/>
  <c r="N25" i="7"/>
  <c r="N24" i="7"/>
  <c r="O30" i="9"/>
  <c r="O28" i="9"/>
  <c r="O15" i="9"/>
  <c r="O14" i="9"/>
  <c r="O19" i="9" s="1"/>
  <c r="O31" i="9" s="1"/>
  <c r="O29" i="9"/>
  <c r="O26" i="9"/>
  <c r="O27" i="9"/>
  <c r="P9" i="9"/>
  <c r="B22" i="6"/>
  <c r="E21" i="6"/>
  <c r="H62" i="7"/>
  <c r="I57" i="7"/>
  <c r="H63" i="9"/>
  <c r="P10" i="14"/>
  <c r="L22" i="12"/>
  <c r="L21" i="12"/>
  <c r="M10" i="12"/>
  <c r="N20" i="9"/>
  <c r="N19" i="9"/>
  <c r="H38" i="9"/>
  <c r="H40" i="9" s="1"/>
  <c r="H33" i="7" l="1"/>
  <c r="H35" i="7" s="1"/>
  <c r="H36" i="7" s="1"/>
  <c r="H38" i="7" s="1"/>
  <c r="H42" i="7" s="1"/>
  <c r="H13" i="12"/>
  <c r="H14" i="12" s="1"/>
  <c r="H18" i="12"/>
  <c r="H19" i="12" s="1"/>
  <c r="I30" i="7"/>
  <c r="I33" i="7" s="1"/>
  <c r="I35" i="7" s="1"/>
  <c r="I36" i="7" s="1"/>
  <c r="I38" i="7" s="1"/>
  <c r="I42" i="7" s="1"/>
  <c r="G35" i="7"/>
  <c r="F53" i="7"/>
  <c r="F54" i="7" s="1"/>
  <c r="F58" i="7" s="1"/>
  <c r="F41" i="9"/>
  <c r="F39" i="7"/>
  <c r="I38" i="9"/>
  <c r="I40" i="9" s="1"/>
  <c r="I44" i="9" s="1"/>
  <c r="G38" i="9"/>
  <c r="G40" i="9" s="1"/>
  <c r="G44" i="9" s="1"/>
  <c r="G45" i="9" s="1"/>
  <c r="H58" i="9"/>
  <c r="H62" i="9"/>
  <c r="J22" i="7"/>
  <c r="J24" i="9"/>
  <c r="J32" i="9" s="1"/>
  <c r="J35" i="9" s="1"/>
  <c r="I57" i="9"/>
  <c r="I62" i="9" s="1"/>
  <c r="G58" i="9"/>
  <c r="G62" i="9"/>
  <c r="C18" i="6"/>
  <c r="M22" i="12"/>
  <c r="M21" i="12"/>
  <c r="N10" i="12"/>
  <c r="I63" i="9"/>
  <c r="J54" i="9"/>
  <c r="N13" i="14"/>
  <c r="I62" i="7"/>
  <c r="J57" i="7"/>
  <c r="B23" i="6"/>
  <c r="E22" i="6"/>
  <c r="N21" i="9"/>
  <c r="N31" i="9"/>
  <c r="P30" i="9"/>
  <c r="P29" i="9"/>
  <c r="P28" i="9"/>
  <c r="P27" i="9"/>
  <c r="P26" i="9"/>
  <c r="P15" i="9"/>
  <c r="P14" i="9"/>
  <c r="Q9" i="9"/>
  <c r="H44" i="9"/>
  <c r="Q10" i="14"/>
  <c r="O20" i="9"/>
  <c r="O21" i="9" s="1"/>
  <c r="O55" i="7"/>
  <c r="O56" i="7" s="1"/>
  <c r="O29" i="7"/>
  <c r="O12" i="14" s="1"/>
  <c r="O13" i="14" s="1"/>
  <c r="O28" i="7"/>
  <c r="O27" i="7"/>
  <c r="O26" i="7"/>
  <c r="O25" i="7"/>
  <c r="O24" i="7"/>
  <c r="P9" i="7"/>
  <c r="I32" i="7" l="1"/>
  <c r="I52" i="7" s="1"/>
  <c r="I13" i="12"/>
  <c r="I14" i="12" s="1"/>
  <c r="I18" i="12"/>
  <c r="I19" i="12" s="1"/>
  <c r="G18" i="12"/>
  <c r="G19" i="12" s="1"/>
  <c r="G32" i="7"/>
  <c r="G52" i="7" s="1"/>
  <c r="G13" i="12"/>
  <c r="G14" i="12" s="1"/>
  <c r="J30" i="7"/>
  <c r="J33" i="7" s="1"/>
  <c r="J35" i="7" s="1"/>
  <c r="J36" i="7" s="1"/>
  <c r="J38" i="7" s="1"/>
  <c r="J42" i="7" s="1"/>
  <c r="H32" i="7"/>
  <c r="H52" i="7" s="1"/>
  <c r="H59" i="7" s="1"/>
  <c r="G36" i="7"/>
  <c r="G38" i="7" s="1"/>
  <c r="G42" i="7" s="1"/>
  <c r="G43" i="7" s="1"/>
  <c r="H43" i="7" s="1"/>
  <c r="I43" i="7" s="1"/>
  <c r="F61" i="7"/>
  <c r="I58" i="9"/>
  <c r="H45" i="9"/>
  <c r="I45" i="9" s="1"/>
  <c r="G41" i="9"/>
  <c r="J37" i="9"/>
  <c r="J34" i="9" s="1"/>
  <c r="J55" i="9" s="1"/>
  <c r="J56" i="9" s="1"/>
  <c r="J57" i="9" s="1"/>
  <c r="J62" i="9" s="1"/>
  <c r="D18" i="6"/>
  <c r="I59" i="7"/>
  <c r="I53" i="7"/>
  <c r="O53" i="9"/>
  <c r="P55" i="7"/>
  <c r="P56" i="7" s="1"/>
  <c r="P29" i="7"/>
  <c r="P12" i="14" s="1"/>
  <c r="P13" i="14" s="1"/>
  <c r="P28" i="7"/>
  <c r="P27" i="7"/>
  <c r="Q9" i="7"/>
  <c r="P24" i="7"/>
  <c r="P26" i="7"/>
  <c r="P25" i="7"/>
  <c r="P20" i="9"/>
  <c r="P19" i="9"/>
  <c r="N53" i="9"/>
  <c r="R10" i="14"/>
  <c r="B24" i="6"/>
  <c r="E23" i="6"/>
  <c r="N21" i="12"/>
  <c r="O10" i="12"/>
  <c r="N22" i="12"/>
  <c r="Q29" i="9"/>
  <c r="R9" i="9"/>
  <c r="Q26" i="9"/>
  <c r="Q27" i="9"/>
  <c r="Q15" i="9"/>
  <c r="Q14" i="9"/>
  <c r="Q30" i="9"/>
  <c r="Q28" i="9"/>
  <c r="J62" i="7"/>
  <c r="K57" i="7"/>
  <c r="K54" i="9"/>
  <c r="J63" i="9"/>
  <c r="H53" i="7" l="1"/>
  <c r="G39" i="7"/>
  <c r="H39" i="7" s="1"/>
  <c r="I39" i="7" s="1"/>
  <c r="C19" i="6"/>
  <c r="D19" i="6" s="1"/>
  <c r="G19" i="6" s="1"/>
  <c r="G18" i="6"/>
  <c r="G59" i="7"/>
  <c r="G53" i="7"/>
  <c r="G54" i="7" s="1"/>
  <c r="G58" i="7" s="1"/>
  <c r="J43" i="7"/>
  <c r="G61" i="7"/>
  <c r="H41" i="9"/>
  <c r="I41" i="9" s="1"/>
  <c r="J32" i="7"/>
  <c r="J13" i="12"/>
  <c r="J14" i="12" s="1"/>
  <c r="J58" i="9"/>
  <c r="J38" i="9"/>
  <c r="J40" i="9" s="1"/>
  <c r="J44" i="9" s="1"/>
  <c r="J45" i="9" s="1"/>
  <c r="J18" i="12"/>
  <c r="J19" i="12" s="1"/>
  <c r="J39" i="7"/>
  <c r="K24" i="9"/>
  <c r="K32" i="9" s="1"/>
  <c r="K35" i="9" s="1"/>
  <c r="K22" i="7"/>
  <c r="Q20" i="9"/>
  <c r="K62" i="7"/>
  <c r="L57" i="7"/>
  <c r="O21" i="12"/>
  <c r="O22" i="12"/>
  <c r="P10" i="12"/>
  <c r="R30" i="9"/>
  <c r="R26" i="9"/>
  <c r="R27" i="9"/>
  <c r="R15" i="9"/>
  <c r="R28" i="9"/>
  <c r="R29" i="9"/>
  <c r="S9" i="9"/>
  <c r="R14" i="9"/>
  <c r="R19" i="9" s="1"/>
  <c r="R31" i="9" s="1"/>
  <c r="L54" i="9"/>
  <c r="K63" i="9"/>
  <c r="Q19" i="9"/>
  <c r="B25" i="6"/>
  <c r="E24" i="6"/>
  <c r="S10" i="14"/>
  <c r="Q29" i="7"/>
  <c r="Q12" i="14" s="1"/>
  <c r="Q13" i="14" s="1"/>
  <c r="Q28" i="7"/>
  <c r="Q27" i="7"/>
  <c r="Q26" i="7"/>
  <c r="Q25" i="7"/>
  <c r="Q24" i="7"/>
  <c r="Q55" i="7"/>
  <c r="Q56" i="7" s="1"/>
  <c r="R9" i="7"/>
  <c r="P21" i="9"/>
  <c r="P31" i="9"/>
  <c r="K30" i="7" l="1"/>
  <c r="K33" i="7" s="1"/>
  <c r="H54" i="7"/>
  <c r="J52" i="7"/>
  <c r="J53" i="7" s="1"/>
  <c r="R20" i="9"/>
  <c r="R21" i="9" s="1"/>
  <c r="R53" i="9" s="1"/>
  <c r="J41" i="9"/>
  <c r="L22" i="7"/>
  <c r="L24" i="9"/>
  <c r="L32" i="9" s="1"/>
  <c r="L35" i="9" s="1"/>
  <c r="K37" i="9"/>
  <c r="K34" i="9" s="1"/>
  <c r="K55" i="9" s="1"/>
  <c r="K56" i="9" s="1"/>
  <c r="K57" i="9" s="1"/>
  <c r="C20" i="6"/>
  <c r="P53" i="9"/>
  <c r="T10" i="14"/>
  <c r="B26" i="6"/>
  <c r="E25" i="6"/>
  <c r="L63" i="9"/>
  <c r="M54" i="9"/>
  <c r="Q31" i="9"/>
  <c r="Q21" i="9"/>
  <c r="S27" i="9"/>
  <c r="S15" i="9"/>
  <c r="S14" i="9"/>
  <c r="S28" i="9"/>
  <c r="S30" i="9"/>
  <c r="S29" i="9"/>
  <c r="S26" i="9"/>
  <c r="T9" i="9"/>
  <c r="P22" i="12"/>
  <c r="P21" i="12"/>
  <c r="Q10" i="12"/>
  <c r="L62" i="7"/>
  <c r="M57" i="7"/>
  <c r="R29" i="7"/>
  <c r="R12" i="14" s="1"/>
  <c r="R13" i="14" s="1"/>
  <c r="R28" i="7"/>
  <c r="R27" i="7"/>
  <c r="R26" i="7"/>
  <c r="S9" i="7"/>
  <c r="R55" i="7"/>
  <c r="R56" i="7" s="1"/>
  <c r="R24" i="7"/>
  <c r="R25" i="7"/>
  <c r="I54" i="7" l="1"/>
  <c r="H58" i="7"/>
  <c r="H61" i="7"/>
  <c r="J54" i="7"/>
  <c r="J58" i="7" s="1"/>
  <c r="L30" i="7"/>
  <c r="L33" i="7" s="1"/>
  <c r="J59" i="7"/>
  <c r="K38" i="9"/>
  <c r="K40" i="9" s="1"/>
  <c r="K44" i="9" s="1"/>
  <c r="K45" i="9" s="1"/>
  <c r="K62" i="9"/>
  <c r="K58" i="9"/>
  <c r="K35" i="7"/>
  <c r="K36" i="7" s="1"/>
  <c r="K38" i="7" s="1"/>
  <c r="L37" i="9"/>
  <c r="L34" i="9" s="1"/>
  <c r="L55" i="9" s="1"/>
  <c r="L56" i="9" s="1"/>
  <c r="L57" i="9" s="1"/>
  <c r="D20" i="6"/>
  <c r="S20" i="9"/>
  <c r="S19" i="9"/>
  <c r="B27" i="6"/>
  <c r="E26" i="6"/>
  <c r="T30" i="9"/>
  <c r="T29" i="9"/>
  <c r="T28" i="9"/>
  <c r="T27" i="9"/>
  <c r="T26" i="9"/>
  <c r="T15" i="9"/>
  <c r="T14" i="9"/>
  <c r="U9" i="9"/>
  <c r="Q21" i="12"/>
  <c r="Q22" i="12"/>
  <c r="R10" i="12"/>
  <c r="Q53" i="9"/>
  <c r="U10" i="14"/>
  <c r="S55" i="7"/>
  <c r="S56" i="7" s="1"/>
  <c r="S29" i="7"/>
  <c r="S12" i="14" s="1"/>
  <c r="S13" i="14" s="1"/>
  <c r="S28" i="7"/>
  <c r="S27" i="7"/>
  <c r="S26" i="7"/>
  <c r="S25" i="7"/>
  <c r="S24" i="7"/>
  <c r="T9" i="7"/>
  <c r="M62" i="7"/>
  <c r="N57" i="7"/>
  <c r="M63" i="9"/>
  <c r="N54" i="9"/>
  <c r="J61" i="7" l="1"/>
  <c r="C21" i="6"/>
  <c r="G20" i="6"/>
  <c r="I58" i="7"/>
  <c r="I61" i="7"/>
  <c r="K41" i="9"/>
  <c r="D21" i="6"/>
  <c r="L62" i="9"/>
  <c r="L58" i="9"/>
  <c r="K39" i="7"/>
  <c r="K42" i="7"/>
  <c r="K43" i="7" s="1"/>
  <c r="M24" i="9"/>
  <c r="M32" i="9" s="1"/>
  <c r="M35" i="9" s="1"/>
  <c r="M22" i="7"/>
  <c r="K18" i="12"/>
  <c r="K19" i="12" s="1"/>
  <c r="K13" i="12"/>
  <c r="K14" i="12" s="1"/>
  <c r="K32" i="7"/>
  <c r="K52" i="7" s="1"/>
  <c r="L35" i="7"/>
  <c r="L36" i="7" s="1"/>
  <c r="L38" i="7" s="1"/>
  <c r="L42" i="7" s="1"/>
  <c r="L38" i="9"/>
  <c r="L40" i="9" s="1"/>
  <c r="L44" i="9" s="1"/>
  <c r="L45" i="9" s="1"/>
  <c r="T20" i="9"/>
  <c r="N62" i="7"/>
  <c r="O57" i="7"/>
  <c r="T55" i="7"/>
  <c r="T56" i="7" s="1"/>
  <c r="T29" i="7"/>
  <c r="T12" i="14" s="1"/>
  <c r="T13" i="14" s="1"/>
  <c r="T28" i="7"/>
  <c r="T27" i="7"/>
  <c r="U9" i="7"/>
  <c r="T25" i="7"/>
  <c r="T26" i="7"/>
  <c r="T24" i="7"/>
  <c r="R22" i="12"/>
  <c r="S10" i="12"/>
  <c r="R21" i="12"/>
  <c r="B28" i="6"/>
  <c r="E27" i="6"/>
  <c r="U28" i="9"/>
  <c r="V9" i="9"/>
  <c r="U30" i="9"/>
  <c r="U29" i="9"/>
  <c r="U26" i="9"/>
  <c r="U15" i="9"/>
  <c r="U14" i="9"/>
  <c r="U27" i="9"/>
  <c r="T19" i="9"/>
  <c r="S31" i="9"/>
  <c r="S21" i="9"/>
  <c r="N63" i="9"/>
  <c r="O54" i="9"/>
  <c r="V10" i="14"/>
  <c r="C22" i="6" l="1"/>
  <c r="G21" i="6"/>
  <c r="M30" i="7"/>
  <c r="M33" i="7" s="1"/>
  <c r="M35" i="7" s="1"/>
  <c r="M36" i="7" s="1"/>
  <c r="M38" i="7" s="1"/>
  <c r="M42" i="7" s="1"/>
  <c r="M37" i="9"/>
  <c r="M34" i="9" s="1"/>
  <c r="M55" i="9" s="1"/>
  <c r="M56" i="9" s="1"/>
  <c r="M57" i="9" s="1"/>
  <c r="L43" i="7"/>
  <c r="L18" i="12"/>
  <c r="L19" i="12" s="1"/>
  <c r="L13" i="12"/>
  <c r="L14" i="12" s="1"/>
  <c r="L32" i="7"/>
  <c r="L52" i="7" s="1"/>
  <c r="L39" i="7"/>
  <c r="D22" i="6"/>
  <c r="K59" i="7"/>
  <c r="K53" i="7"/>
  <c r="K54" i="7" s="1"/>
  <c r="L41" i="9"/>
  <c r="N24" i="9"/>
  <c r="N22" i="7"/>
  <c r="U20" i="9"/>
  <c r="T31" i="9"/>
  <c r="T21" i="9"/>
  <c r="U19" i="9"/>
  <c r="W10" i="14"/>
  <c r="S53" i="9"/>
  <c r="S21" i="12"/>
  <c r="T10" i="12"/>
  <c r="S22" i="12"/>
  <c r="U55" i="7"/>
  <c r="U56" i="7" s="1"/>
  <c r="U29" i="7"/>
  <c r="U12" i="14" s="1"/>
  <c r="U13" i="14" s="1"/>
  <c r="U28" i="7"/>
  <c r="U27" i="7"/>
  <c r="U26" i="7"/>
  <c r="U25" i="7"/>
  <c r="U24" i="7"/>
  <c r="V9" i="7"/>
  <c r="P54" i="9"/>
  <c r="O63" i="9"/>
  <c r="V30" i="9"/>
  <c r="V29" i="9"/>
  <c r="V26" i="9"/>
  <c r="V15" i="9"/>
  <c r="V27" i="9"/>
  <c r="V28" i="9"/>
  <c r="W9" i="9"/>
  <c r="V14" i="9"/>
  <c r="V19" i="9" s="1"/>
  <c r="B29" i="6"/>
  <c r="E28" i="6"/>
  <c r="O62" i="7"/>
  <c r="P57" i="7"/>
  <c r="C23" i="6" l="1"/>
  <c r="G22" i="6"/>
  <c r="N30" i="7"/>
  <c r="N33" i="7" s="1"/>
  <c r="M18" i="12"/>
  <c r="M19" i="12" s="1"/>
  <c r="M39" i="7"/>
  <c r="M32" i="7"/>
  <c r="M52" i="7" s="1"/>
  <c r="M59" i="7" s="1"/>
  <c r="M38" i="9"/>
  <c r="M40" i="9" s="1"/>
  <c r="M44" i="9" s="1"/>
  <c r="M45" i="9" s="1"/>
  <c r="K58" i="7"/>
  <c r="K61" i="7"/>
  <c r="L59" i="7"/>
  <c r="L53" i="7"/>
  <c r="L54" i="7" s="1"/>
  <c r="N32" i="9"/>
  <c r="N35" i="9" s="1"/>
  <c r="M43" i="7"/>
  <c r="D23" i="6"/>
  <c r="M62" i="9"/>
  <c r="M58" i="9"/>
  <c r="M13" i="12"/>
  <c r="M14" i="12" s="1"/>
  <c r="O24" i="9"/>
  <c r="O32" i="9" s="1"/>
  <c r="O35" i="9" s="1"/>
  <c r="O22" i="7"/>
  <c r="V31" i="9"/>
  <c r="P62" i="7"/>
  <c r="Q57" i="7"/>
  <c r="W24" i="9"/>
  <c r="W30" i="9"/>
  <c r="W26" i="9"/>
  <c r="W15" i="9"/>
  <c r="W14" i="9"/>
  <c r="W19" i="9" s="1"/>
  <c r="W31" i="9" s="1"/>
  <c r="W27" i="9"/>
  <c r="W28" i="9"/>
  <c r="W29" i="9"/>
  <c r="X9" i="9"/>
  <c r="V29" i="7"/>
  <c r="V12" i="14" s="1"/>
  <c r="V13" i="14" s="1"/>
  <c r="V28" i="7"/>
  <c r="V27" i="7"/>
  <c r="V26" i="7"/>
  <c r="W9" i="7"/>
  <c r="V55" i="7"/>
  <c r="V56" i="7" s="1"/>
  <c r="V25" i="7"/>
  <c r="V24" i="7"/>
  <c r="X10" i="14"/>
  <c r="P63" i="9"/>
  <c r="Q54" i="9"/>
  <c r="T22" i="12"/>
  <c r="T21" i="12"/>
  <c r="U10" i="12"/>
  <c r="U31" i="9"/>
  <c r="U21" i="9"/>
  <c r="T53" i="9"/>
  <c r="B30" i="6"/>
  <c r="E29" i="6"/>
  <c r="V20" i="9"/>
  <c r="V21" i="9" s="1"/>
  <c r="M41" i="9" l="1"/>
  <c r="O30" i="7"/>
  <c r="O33" i="7" s="1"/>
  <c r="C24" i="6"/>
  <c r="D24" i="6" s="1"/>
  <c r="G23" i="6"/>
  <c r="M53" i="7"/>
  <c r="M54" i="7" s="1"/>
  <c r="N37" i="9"/>
  <c r="N34" i="9" s="1"/>
  <c r="N55" i="9" s="1"/>
  <c r="N56" i="9" s="1"/>
  <c r="N57" i="9" s="1"/>
  <c r="L61" i="7"/>
  <c r="L58" i="7"/>
  <c r="O37" i="9"/>
  <c r="O34" i="9" s="1"/>
  <c r="O55" i="9" s="1"/>
  <c r="O56" i="9" s="1"/>
  <c r="P24" i="9"/>
  <c r="P32" i="9" s="1"/>
  <c r="P35" i="9" s="1"/>
  <c r="P22" i="7"/>
  <c r="N35" i="7"/>
  <c r="N36" i="7" s="1"/>
  <c r="N38" i="7" s="1"/>
  <c r="W32" i="9"/>
  <c r="V53" i="9"/>
  <c r="B31" i="6"/>
  <c r="D30" i="6"/>
  <c r="E30" i="6"/>
  <c r="C30" i="6"/>
  <c r="W55" i="7"/>
  <c r="W56" i="7" s="1"/>
  <c r="W29" i="7"/>
  <c r="W12" i="14" s="1"/>
  <c r="W13" i="14" s="1"/>
  <c r="W28" i="7"/>
  <c r="W27" i="7"/>
  <c r="W26" i="7"/>
  <c r="W25" i="7"/>
  <c r="W24" i="7"/>
  <c r="X9" i="7"/>
  <c r="U21" i="12"/>
  <c r="U22" i="12"/>
  <c r="V10" i="12"/>
  <c r="X30" i="9"/>
  <c r="X29" i="9"/>
  <c r="X28" i="9"/>
  <c r="X27" i="9"/>
  <c r="X26" i="9"/>
  <c r="X24" i="9"/>
  <c r="X15" i="9"/>
  <c r="X14" i="9"/>
  <c r="X19" i="9" s="1"/>
  <c r="Y9" i="9"/>
  <c r="Q62" i="7"/>
  <c r="R57" i="7"/>
  <c r="U53" i="9"/>
  <c r="Y10" i="14"/>
  <c r="Q63" i="9"/>
  <c r="R54" i="9"/>
  <c r="W20" i="9"/>
  <c r="W21" i="9" s="1"/>
  <c r="C25" i="6" l="1"/>
  <c r="D25" i="6" s="1"/>
  <c r="G24" i="6"/>
  <c r="P30" i="7"/>
  <c r="P33" i="7" s="1"/>
  <c r="P35" i="7" s="1"/>
  <c r="P36" i="7" s="1"/>
  <c r="P38" i="7" s="1"/>
  <c r="P42" i="7" s="1"/>
  <c r="N38" i="9"/>
  <c r="N40" i="9" s="1"/>
  <c r="N44" i="9" s="1"/>
  <c r="N45" i="9" s="1"/>
  <c r="W30" i="7"/>
  <c r="W33" i="7" s="1"/>
  <c r="P37" i="9"/>
  <c r="P34" i="9" s="1"/>
  <c r="P55" i="9" s="1"/>
  <c r="P56" i="9" s="1"/>
  <c r="O38" i="9"/>
  <c r="O40" i="9" s="1"/>
  <c r="O44" i="9" s="1"/>
  <c r="M58" i="7"/>
  <c r="M61" i="7"/>
  <c r="N42" i="7"/>
  <c r="N43" i="7" s="1"/>
  <c r="N39" i="7"/>
  <c r="O35" i="7"/>
  <c r="O36" i="7" s="1"/>
  <c r="O38" i="7" s="1"/>
  <c r="O42" i="7" s="1"/>
  <c r="Q24" i="9"/>
  <c r="Q32" i="9" s="1"/>
  <c r="Q35" i="9" s="1"/>
  <c r="Q22" i="7"/>
  <c r="N32" i="7"/>
  <c r="N52" i="7" s="1"/>
  <c r="N13" i="12"/>
  <c r="N14" i="12" s="1"/>
  <c r="N18" i="12"/>
  <c r="N19" i="12" s="1"/>
  <c r="N62" i="9"/>
  <c r="N58" i="9"/>
  <c r="O57" i="9"/>
  <c r="X31" i="9"/>
  <c r="X32" i="9" s="1"/>
  <c r="S54" i="9"/>
  <c r="R63" i="9"/>
  <c r="Y27" i="9"/>
  <c r="Y28" i="9"/>
  <c r="Y24" i="9"/>
  <c r="Y29" i="9"/>
  <c r="Y15" i="9"/>
  <c r="Y14" i="9"/>
  <c r="Y19" i="9" s="1"/>
  <c r="Y31" i="9" s="1"/>
  <c r="Y30" i="9"/>
  <c r="Y26" i="9"/>
  <c r="V21" i="12"/>
  <c r="V22" i="12"/>
  <c r="W10" i="12"/>
  <c r="W53" i="9"/>
  <c r="W35" i="9"/>
  <c r="R62" i="7"/>
  <c r="S57" i="7"/>
  <c r="X20" i="9"/>
  <c r="X21" i="9" s="1"/>
  <c r="X55" i="7"/>
  <c r="X56" i="7" s="1"/>
  <c r="X29" i="7"/>
  <c r="X12" i="14" s="1"/>
  <c r="X13" i="14" s="1"/>
  <c r="X28" i="7"/>
  <c r="X27" i="7"/>
  <c r="X26" i="7"/>
  <c r="Y9" i="7"/>
  <c r="X24" i="7"/>
  <c r="X25" i="7"/>
  <c r="B32" i="6"/>
  <c r="D31" i="6"/>
  <c r="C31" i="6"/>
  <c r="E31" i="6"/>
  <c r="N41" i="9" l="1"/>
  <c r="O41" i="9" s="1"/>
  <c r="C26" i="6"/>
  <c r="G25" i="6"/>
  <c r="Q30" i="7"/>
  <c r="Q33" i="7" s="1"/>
  <c r="Q35" i="7" s="1"/>
  <c r="Q36" i="7" s="1"/>
  <c r="Q38" i="7" s="1"/>
  <c r="Q42" i="7" s="1"/>
  <c r="O45" i="9"/>
  <c r="P38" i="9"/>
  <c r="P40" i="9" s="1"/>
  <c r="P44" i="9" s="1"/>
  <c r="X30" i="7"/>
  <c r="X33" i="7" s="1"/>
  <c r="P13" i="12"/>
  <c r="P14" i="12" s="1"/>
  <c r="O32" i="7"/>
  <c r="O52" i="7" s="1"/>
  <c r="O18" i="12"/>
  <c r="O19" i="12" s="1"/>
  <c r="O13" i="12"/>
  <c r="O14" i="12" s="1"/>
  <c r="O62" i="9"/>
  <c r="P57" i="9"/>
  <c r="O58" i="9"/>
  <c r="P18" i="12"/>
  <c r="P19" i="12" s="1"/>
  <c r="O39" i="7"/>
  <c r="P39" i="7" s="1"/>
  <c r="D26" i="6"/>
  <c r="P32" i="7"/>
  <c r="P52" i="7" s="1"/>
  <c r="N59" i="7"/>
  <c r="N53" i="7"/>
  <c r="N54" i="7" s="1"/>
  <c r="Q37" i="9"/>
  <c r="Q34" i="9" s="1"/>
  <c r="Q55" i="9" s="1"/>
  <c r="Q56" i="9" s="1"/>
  <c r="O43" i="7"/>
  <c r="P43" i="7" s="1"/>
  <c r="R24" i="9"/>
  <c r="R32" i="9" s="1"/>
  <c r="R35" i="9" s="1"/>
  <c r="R22" i="7"/>
  <c r="Y32" i="9"/>
  <c r="X53" i="9"/>
  <c r="X35" i="9"/>
  <c r="T54" i="9"/>
  <c r="S63" i="9"/>
  <c r="W22" i="12"/>
  <c r="W21" i="12"/>
  <c r="X10" i="12"/>
  <c r="D32" i="6"/>
  <c r="E32" i="6"/>
  <c r="C32" i="6"/>
  <c r="Y55" i="7"/>
  <c r="Y56" i="7" s="1"/>
  <c r="Y29" i="7"/>
  <c r="Y12" i="14" s="1"/>
  <c r="Y28" i="7"/>
  <c r="Y27" i="7"/>
  <c r="Y26" i="7"/>
  <c r="Y25" i="7"/>
  <c r="Y24" i="7"/>
  <c r="S62" i="7"/>
  <c r="T57" i="7"/>
  <c r="W37" i="9"/>
  <c r="W34" i="9" s="1"/>
  <c r="W55" i="9" s="1"/>
  <c r="W56" i="9" s="1"/>
  <c r="Y20" i="9"/>
  <c r="Y21" i="9" s="1"/>
  <c r="W35" i="7"/>
  <c r="W32" i="7" s="1"/>
  <c r="W52" i="7" s="1"/>
  <c r="W59" i="7" s="1"/>
  <c r="C27" i="6" l="1"/>
  <c r="G26" i="6"/>
  <c r="R30" i="7"/>
  <c r="R33" i="7" s="1"/>
  <c r="R35" i="7" s="1"/>
  <c r="R36" i="7" s="1"/>
  <c r="R38" i="7" s="1"/>
  <c r="R42" i="7" s="1"/>
  <c r="D27" i="6"/>
  <c r="G27" i="6" s="1"/>
  <c r="C28" i="6"/>
  <c r="T11" i="7"/>
  <c r="T13" i="7"/>
  <c r="T12" i="7"/>
  <c r="P45" i="9"/>
  <c r="P41" i="9"/>
  <c r="Q43" i="7"/>
  <c r="Y30" i="7"/>
  <c r="Y33" i="7" s="1"/>
  <c r="Q38" i="9"/>
  <c r="Q40" i="9" s="1"/>
  <c r="Q44" i="9" s="1"/>
  <c r="Q45" i="9" s="1"/>
  <c r="P53" i="7"/>
  <c r="P59" i="7"/>
  <c r="Q18" i="12"/>
  <c r="Q19" i="12" s="1"/>
  <c r="Q39" i="7"/>
  <c r="T24" i="9"/>
  <c r="T32" i="9" s="1"/>
  <c r="T35" i="9" s="1"/>
  <c r="T22" i="7"/>
  <c r="Q32" i="7"/>
  <c r="Q52" i="7" s="1"/>
  <c r="R37" i="9"/>
  <c r="R34" i="9" s="1"/>
  <c r="R55" i="9" s="1"/>
  <c r="R56" i="9" s="1"/>
  <c r="N61" i="7"/>
  <c r="N58" i="7"/>
  <c r="S22" i="7"/>
  <c r="S24" i="9"/>
  <c r="S32" i="9" s="1"/>
  <c r="S35" i="9" s="1"/>
  <c r="Q13" i="12"/>
  <c r="Q14" i="12" s="1"/>
  <c r="P62" i="9"/>
  <c r="P58" i="9"/>
  <c r="Q57" i="9"/>
  <c r="O59" i="7"/>
  <c r="O53" i="7"/>
  <c r="O54" i="7" s="1"/>
  <c r="W53" i="7"/>
  <c r="T62" i="7"/>
  <c r="U57" i="7"/>
  <c r="W36" i="7"/>
  <c r="W38" i="7" s="1"/>
  <c r="W42" i="7" s="1"/>
  <c r="Y53" i="9"/>
  <c r="Y35" i="9"/>
  <c r="W38" i="9"/>
  <c r="W40" i="9" s="1"/>
  <c r="W44" i="9" s="1"/>
  <c r="W13" i="12"/>
  <c r="W14" i="12" s="1"/>
  <c r="E15" i="14"/>
  <c r="Y13" i="14"/>
  <c r="U54" i="9"/>
  <c r="T63" i="9"/>
  <c r="X35" i="7"/>
  <c r="X32" i="7" s="1"/>
  <c r="X52" i="7" s="1"/>
  <c r="X59" i="7" s="1"/>
  <c r="X22" i="12"/>
  <c r="X21" i="12"/>
  <c r="Y10" i="12"/>
  <c r="W18" i="12"/>
  <c r="W19" i="12" s="1"/>
  <c r="X37" i="9"/>
  <c r="X34" i="9" s="1"/>
  <c r="X55" i="9" s="1"/>
  <c r="X56" i="9" s="1"/>
  <c r="S30" i="7" l="1"/>
  <c r="D28" i="6"/>
  <c r="G28" i="6" s="1"/>
  <c r="C29" i="6"/>
  <c r="D29" i="6" s="1"/>
  <c r="G29" i="6" s="1"/>
  <c r="T30" i="7"/>
  <c r="T33" i="7" s="1"/>
  <c r="T35" i="7" s="1"/>
  <c r="T36" i="7" s="1"/>
  <c r="T38" i="7" s="1"/>
  <c r="T42" i="7" s="1"/>
  <c r="R38" i="9"/>
  <c r="R40" i="9" s="1"/>
  <c r="R44" i="9" s="1"/>
  <c r="R45" i="9" s="1"/>
  <c r="R18" i="12"/>
  <c r="R19" i="12" s="1"/>
  <c r="R32" i="7"/>
  <c r="R52" i="7" s="1"/>
  <c r="R59" i="7" s="1"/>
  <c r="Q53" i="7"/>
  <c r="Q59" i="7"/>
  <c r="Q58" i="9"/>
  <c r="Q62" i="9"/>
  <c r="R57" i="9"/>
  <c r="S37" i="9"/>
  <c r="S34" i="9" s="1"/>
  <c r="S55" i="9" s="1"/>
  <c r="S56" i="9" s="1"/>
  <c r="P54" i="7"/>
  <c r="O58" i="7"/>
  <c r="O61" i="7"/>
  <c r="T37" i="9"/>
  <c r="T34" i="9" s="1"/>
  <c r="T55" i="9" s="1"/>
  <c r="T56" i="9" s="1"/>
  <c r="Q41" i="9"/>
  <c r="S33" i="7"/>
  <c r="S35" i="7" s="1"/>
  <c r="S36" i="7" s="1"/>
  <c r="S38" i="7" s="1"/>
  <c r="S42" i="7" s="1"/>
  <c r="R13" i="12"/>
  <c r="R14" i="12" s="1"/>
  <c r="R39" i="7"/>
  <c r="R43" i="7"/>
  <c r="X13" i="12"/>
  <c r="X14" i="12" s="1"/>
  <c r="X53" i="7"/>
  <c r="Y21" i="12"/>
  <c r="Y22" i="12"/>
  <c r="U63" i="9"/>
  <c r="V54" i="9"/>
  <c r="U62" i="7"/>
  <c r="V57" i="7"/>
  <c r="Y35" i="7"/>
  <c r="Y32" i="7" s="1"/>
  <c r="X38" i="9"/>
  <c r="X40" i="9" s="1"/>
  <c r="X44" i="9" s="1"/>
  <c r="Y37" i="9"/>
  <c r="Y34" i="9" s="1"/>
  <c r="X18" i="12"/>
  <c r="X19" i="12" s="1"/>
  <c r="X36" i="7"/>
  <c r="X38" i="7" s="1"/>
  <c r="X42" i="7" s="1"/>
  <c r="V30" i="7" l="1"/>
  <c r="V24" i="9"/>
  <c r="V32" i="9" s="1"/>
  <c r="V35" i="9" s="1"/>
  <c r="U24" i="9"/>
  <c r="U32" i="9" s="1"/>
  <c r="U35" i="9" s="1"/>
  <c r="R41" i="9"/>
  <c r="R53" i="7"/>
  <c r="S38" i="9"/>
  <c r="S40" i="9" s="1"/>
  <c r="S44" i="9" s="1"/>
  <c r="S45" i="9" s="1"/>
  <c r="T38" i="9"/>
  <c r="T40" i="9" s="1"/>
  <c r="T44" i="9" s="1"/>
  <c r="S32" i="7"/>
  <c r="S52" i="7" s="1"/>
  <c r="S53" i="7" s="1"/>
  <c r="S43" i="7"/>
  <c r="T43" i="7" s="1"/>
  <c r="S13" i="12"/>
  <c r="S14" i="12" s="1"/>
  <c r="S39" i="7"/>
  <c r="T39" i="7" s="1"/>
  <c r="S18" i="12"/>
  <c r="S19" i="12" s="1"/>
  <c r="T32" i="7"/>
  <c r="T52" i="7" s="1"/>
  <c r="T13" i="12"/>
  <c r="T14" i="12" s="1"/>
  <c r="R62" i="9"/>
  <c r="R58" i="9"/>
  <c r="S57" i="9"/>
  <c r="T18" i="12"/>
  <c r="T19" i="12" s="1"/>
  <c r="P58" i="7"/>
  <c r="Q54" i="7"/>
  <c r="P61" i="7"/>
  <c r="Y52" i="7"/>
  <c r="Y36" i="7"/>
  <c r="Y38" i="7" s="1"/>
  <c r="Y55" i="9"/>
  <c r="Y56" i="9" s="1"/>
  <c r="Y13" i="12"/>
  <c r="Y14" i="12" s="1"/>
  <c r="Y18" i="12"/>
  <c r="Y19" i="12" s="1"/>
  <c r="Y38" i="9"/>
  <c r="Y40" i="9" s="1"/>
  <c r="V62" i="7"/>
  <c r="W57" i="7"/>
  <c r="V63" i="9"/>
  <c r="W54" i="9"/>
  <c r="U37" i="9" l="1"/>
  <c r="U34" i="9" s="1"/>
  <c r="V33" i="7"/>
  <c r="U30" i="7"/>
  <c r="V37" i="9"/>
  <c r="V34" i="9" s="1"/>
  <c r="V55" i="9" s="1"/>
  <c r="V56" i="9" s="1"/>
  <c r="T45" i="9"/>
  <c r="S59" i="7"/>
  <c r="Y42" i="7"/>
  <c r="S41" i="9"/>
  <c r="T41" i="9" s="1"/>
  <c r="T59" i="7"/>
  <c r="T53" i="7"/>
  <c r="R54" i="7"/>
  <c r="Q58" i="7"/>
  <c r="Q61" i="7"/>
  <c r="S62" i="9"/>
  <c r="T57" i="9"/>
  <c r="S58" i="9"/>
  <c r="Y53" i="7"/>
  <c r="Y59" i="7"/>
  <c r="W62" i="7"/>
  <c r="X57" i="7"/>
  <c r="X54" i="9"/>
  <c r="W63" i="9"/>
  <c r="Y44" i="9"/>
  <c r="V38" i="9" l="1"/>
  <c r="V40" i="9" s="1"/>
  <c r="V44" i="9" s="1"/>
  <c r="U38" i="9"/>
  <c r="U40" i="9" s="1"/>
  <c r="U44" i="9" s="1"/>
  <c r="U45" i="9" s="1"/>
  <c r="V35" i="7"/>
  <c r="V36" i="7" s="1"/>
  <c r="V38" i="7" s="1"/>
  <c r="V42" i="7" s="1"/>
  <c r="U55" i="9"/>
  <c r="U56" i="9" s="1"/>
  <c r="U57" i="9" s="1"/>
  <c r="E49" i="9"/>
  <c r="U33" i="7"/>
  <c r="T62" i="9"/>
  <c r="T58" i="9"/>
  <c r="R58" i="7"/>
  <c r="S54" i="7"/>
  <c r="R61" i="7"/>
  <c r="X62" i="7"/>
  <c r="Y57" i="7"/>
  <c r="X63" i="9"/>
  <c r="Y54" i="9"/>
  <c r="V45" i="9" l="1"/>
  <c r="W45" i="9" s="1"/>
  <c r="X45" i="9" s="1"/>
  <c r="Y45" i="9" s="1"/>
  <c r="E51" i="9" s="1" a="1"/>
  <c r="E51" i="9" s="1"/>
  <c r="E47" i="9"/>
  <c r="U41" i="9"/>
  <c r="V41" i="9" s="1"/>
  <c r="W41" i="9" s="1"/>
  <c r="X41" i="9" s="1"/>
  <c r="Y41" i="9" s="1"/>
  <c r="E50" i="9" s="1" a="1"/>
  <c r="E50" i="9" s="1"/>
  <c r="E48" i="9"/>
  <c r="V32" i="7"/>
  <c r="V52" i="7" s="1"/>
  <c r="V18" i="12"/>
  <c r="V19" i="12" s="1"/>
  <c r="V13" i="12"/>
  <c r="V14" i="12" s="1"/>
  <c r="U35" i="7"/>
  <c r="U62" i="9"/>
  <c r="V57" i="9"/>
  <c r="U58" i="9"/>
  <c r="S58" i="7"/>
  <c r="S61" i="7"/>
  <c r="T54" i="7"/>
  <c r="Y63" i="9"/>
  <c r="Y62" i="7"/>
  <c r="E37" i="13" l="1"/>
  <c r="E18" i="16"/>
  <c r="D37" i="13"/>
  <c r="E17" i="16"/>
  <c r="U32" i="7"/>
  <c r="U13" i="12"/>
  <c r="U14" i="12" s="1"/>
  <c r="E24" i="12" s="1"/>
  <c r="E14" i="16" s="1"/>
  <c r="U18" i="12"/>
  <c r="U19" i="12" s="1"/>
  <c r="E25" i="12" s="1"/>
  <c r="U36" i="7"/>
  <c r="U38" i="7" s="1"/>
  <c r="V59" i="7"/>
  <c r="V53" i="7"/>
  <c r="T61" i="7"/>
  <c r="T58" i="7"/>
  <c r="V62" i="9"/>
  <c r="V58" i="9"/>
  <c r="W57" i="9"/>
  <c r="U42" i="7" l="1"/>
  <c r="U43" i="7" s="1"/>
  <c r="V43" i="7" s="1"/>
  <c r="W43" i="7" s="1"/>
  <c r="X43" i="7" s="1"/>
  <c r="Y43" i="7" s="1"/>
  <c r="E49" i="7" s="1" a="1"/>
  <c r="E49" i="7" s="1"/>
  <c r="E45" i="7"/>
  <c r="E46" i="7"/>
  <c r="U39" i="7"/>
  <c r="V39" i="7" s="1"/>
  <c r="W39" i="7" s="1"/>
  <c r="X39" i="7" s="1"/>
  <c r="Y39" i="7" s="1"/>
  <c r="E48" i="7" s="1" a="1"/>
  <c r="E48" i="7" s="1"/>
  <c r="U52" i="7"/>
  <c r="E47" i="7" a="1"/>
  <c r="E47" i="7" s="1"/>
  <c r="X57" i="9"/>
  <c r="W58" i="9"/>
  <c r="W62" i="9"/>
  <c r="U53" i="7" l="1"/>
  <c r="U54" i="7" s="1"/>
  <c r="U59" i="7"/>
  <c r="E16" i="16"/>
  <c r="C37" i="13"/>
  <c r="E15" i="16"/>
  <c r="B37" i="13"/>
  <c r="Y57" i="9"/>
  <c r="X58" i="9"/>
  <c r="X62" i="9"/>
  <c r="V54" i="7" l="1"/>
  <c r="U58" i="7"/>
  <c r="U61" i="7"/>
  <c r="Y62" i="9"/>
  <c r="Y58" i="9"/>
  <c r="V61" i="7" l="1"/>
  <c r="V58" i="7"/>
  <c r="W54" i="7"/>
  <c r="X54" i="7" l="1"/>
  <c r="W58" i="7"/>
  <c r="W61" i="7"/>
  <c r="X61" i="7" l="1"/>
  <c r="X58" i="7"/>
  <c r="Y54" i="7"/>
  <c r="Y58" i="7" l="1"/>
  <c r="Y61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<sst xmlns="http://schemas.openxmlformats.org/spreadsheetml/2006/main" count="367" uniqueCount="219">
  <si>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</si>
  <si>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</si>
  <si>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</si>
  <si>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</si>
  <si>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</si>
  <si>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</si>
  <si>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</si>
  <si>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</si>
  <si>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</si>
  <si>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</si>
  <si>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</si>
  <si>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</si>
  <si>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</si>
  <si>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</si>
  <si>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</si>
  <si>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</si>
  <si>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</si>
  <si>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</si>
  <si>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Mrki ugalj</t>
  </si>
  <si>
    <t>Lignit</t>
  </si>
  <si>
    <t>Solarna energija</t>
  </si>
  <si>
    <t>Drvo sertifikovano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</si>
  <si>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</si>
  <si>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</si>
  <si>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</si>
  <si>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</si>
  <si>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</si>
  <si>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</si>
  <si>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</si>
  <si>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</si>
  <si>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</si>
  <si>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MW</t>
  </si>
  <si>
    <t>RSD/m3</t>
  </si>
  <si>
    <t>l/s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</si>
  <si>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</si>
  <si>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</si>
  <si>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</si>
  <si>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</si>
  <si>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</si>
  <si>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</si>
  <si>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</si>
  <si>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</si>
  <si>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</si>
  <si>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</si>
  <si>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</si>
  <si>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</si>
  <si>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</si>
  <si>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</si>
  <si>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</si>
  <si>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</si>
  <si>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</si>
  <si>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</si>
  <si>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</si>
  <si>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</si>
  <si>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Toplotna pumpa - nabavka</t>
  </si>
  <si>
    <t>Prateća oprema i materijal - nabavka</t>
  </si>
  <si>
    <t>Toplotna pumpa - ugradnja</t>
  </si>
  <si>
    <t>Prateća oprema i materijal - ugradnja</t>
  </si>
  <si>
    <t>Izgradnja cevovoda i povezivanje sa PPOV</t>
  </si>
  <si>
    <t>Izgradnja cevovoda i povezivanje sa toplanom</t>
  </si>
  <si>
    <t>Građevinski radovi</t>
  </si>
  <si>
    <t>Nepredviđeni troškovi</t>
  </si>
  <si>
    <t>Upravljački deo i SCADA</t>
  </si>
  <si>
    <t>Elektro energetske instalacije</t>
  </si>
  <si>
    <t>Primopredaja postrojenja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</si>
  <si>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</si>
  <si>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</si>
  <si>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</si>
  <si>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</si>
  <si>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</si>
  <si>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</si>
  <si>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</si>
  <si>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</si>
  <si>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</si>
  <si>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</si>
  <si>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</si>
  <si>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</si>
  <si>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</si>
  <si>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</si>
  <si>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</si>
  <si>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</si>
  <si>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</si>
  <si>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</si>
  <si>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</si>
  <si>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</si>
  <si>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</si>
  <si>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</si>
  <si>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Koeficijent performanse (COP)</t>
  </si>
  <si>
    <t>Efikasnost mreže daljinskog grejanja</t>
  </si>
  <si>
    <t>Kapacitet toplotne pumpe</t>
  </si>
  <si>
    <t>Snaga elektromotornih pogona (izuzev topltne pumpe)</t>
  </si>
  <si>
    <t>Broj radnih sati sa nominalnim kapacitetom</t>
  </si>
  <si>
    <t>Potrošnja električne energije (kompresori toplotne pumpe)</t>
  </si>
  <si>
    <t>Nominalni protok vode</t>
  </si>
  <si>
    <t>Cena vode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</si>
  <si>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</si>
  <si>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Postoji li garancija porekla</t>
  </si>
  <si>
    <t>IZRAČUNAVANJE ANUITETA</t>
  </si>
  <si>
    <t>Iznos kredita:</t>
  </si>
  <si>
    <t>Preostali iznos glavnice (EUR)</t>
  </si>
  <si>
    <t>Kamata = Troškovi kredita (EUR)</t>
  </si>
  <si>
    <t>Anuiteti (EUR)</t>
  </si>
  <si>
    <t>Vremenski okvri projekta</t>
  </si>
  <si>
    <t>Kredit (EUR)</t>
  </si>
  <si>
    <t>Sopstveni kapital (EUR)</t>
  </si>
  <si>
    <t>Proizvodnja toplote (MWh/a)</t>
  </si>
  <si>
    <t>Prodaja toplote (EUR/a)</t>
  </si>
  <si>
    <t>Ukupni prihod (EUR)</t>
  </si>
  <si>
    <t>Operativni troškovi (EUR/a)</t>
  </si>
  <si>
    <t>Troškovi održavanja (EUR/a)</t>
  </si>
  <si>
    <t>Troškovi električne energije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</si>
  <si>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</si>
  <si>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</si>
  <si>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</si>
  <si>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</si>
  <si>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</si>
  <si>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</si>
  <si>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</si>
  <si>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t>Potrošnja električne energije (MWh/a)</t>
  </si>
  <si>
    <t>Troškovi električne energije (EUR/MWh)</t>
  </si>
  <si>
    <t>Ukupni godišnji troškovi (EUR/a)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</si>
  <si>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</si>
  <si>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</si>
  <si>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</si>
  <si>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</si>
  <si>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</si>
  <si>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</si>
  <si>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</si>
  <si>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Priključenje novog objekta</t>
  </si>
  <si>
    <t>NAZAD</t>
  </si>
  <si>
    <t>DALJE</t>
  </si>
  <si>
    <t>GRAF / CASH FLOW / FINANSIJSKI</t>
  </si>
  <si>
    <t>ESCO INVESTICIJA</t>
  </si>
  <si>
    <t>NAPRED</t>
  </si>
  <si>
    <t>GRAFIK / CASH FLOW / FINANSIJSKI</t>
  </si>
  <si>
    <t>REZIME PROJEKTA</t>
  </si>
  <si>
    <t>Investiciona vrednost (EUR)</t>
  </si>
  <si>
    <t>Subvencije (EUR)</t>
  </si>
  <si>
    <t>LCoE(EE) (EUR/MWh)</t>
  </si>
  <si>
    <t>Udeo u uštedama ako gradi ESCO (EUR)</t>
  </si>
  <si>
    <t>Diskontovana vrednost udela (EUR)</t>
  </si>
  <si>
    <t>N/A</t>
  </si>
  <si>
    <t>Miks goriva</t>
  </si>
  <si>
    <t>Grantovi (EUR)</t>
  </si>
  <si>
    <t>Kamate (EUR/a)</t>
  </si>
  <si>
    <t>Otplata glavnice (EUR/a)</t>
  </si>
  <si>
    <t>Amortizacija (EUR)</t>
  </si>
  <si>
    <t>PRIHODI</t>
  </si>
  <si>
    <t>TROŠKOVI</t>
  </si>
  <si>
    <t>BRUTO DOBIT (EUR/a)</t>
  </si>
  <si>
    <r>
      <t>FINANSIJSKI INDIKATORI, bez CO</t>
    </r>
    <r>
      <rPr>
        <b/>
        <sz val="16"/>
        <color theme="0"/>
        <rFont val="Calibri"/>
        <family val="2"/>
      </rPr>
      <t>²</t>
    </r>
  </si>
  <si>
    <t>Kumulativni gotovinski tok</t>
  </si>
  <si>
    <t>Diskontovani gotovinski tok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</si>
  <si>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</si>
  <si>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</si>
  <si>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</si>
  <si>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</si>
  <si>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</si>
  <si>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</si>
  <si>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</si>
  <si>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</si>
  <si>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</si>
  <si>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</si>
  <si>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</si>
  <si>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godina</t>
  </si>
  <si>
    <t>Diskontovani period povraćaja</t>
  </si>
  <si>
    <r>
      <t>FINANSIJSKI INDIKATORI, sa CO</t>
    </r>
    <r>
      <rPr>
        <b/>
        <sz val="16"/>
        <color theme="0"/>
        <rFont val="Calibri"/>
        <family val="2"/>
      </rPr>
      <t>²</t>
    </r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</si>
  <si>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(t/MWh)</t>
    </r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</si>
  <si>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</si>
  <si>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Neto gotovinski tok</t>
  </si>
  <si>
    <t>Bruto dobit, diskontovano, kumulativno</t>
  </si>
  <si>
    <t>Diskontovani prihodi</t>
  </si>
  <si>
    <t>Diskontovani prihodi, kumul.</t>
  </si>
  <si>
    <t>Diskontovani troškovi</t>
  </si>
  <si>
    <t>Diskontovani troškovi, kumul.</t>
  </si>
  <si>
    <t>Nominalni troškovi</t>
  </si>
  <si>
    <t>Cena kštanja (EUR/MWh)</t>
  </si>
  <si>
    <r>
      <t>Sa CO</t>
    </r>
    <r>
      <rPr>
        <sz val="11"/>
        <color theme="1"/>
        <rFont val="Calibri"/>
        <family val="2"/>
      </rPr>
      <t>²</t>
    </r>
  </si>
  <si>
    <t>Cena koštanja (EUR/MWh)</t>
  </si>
  <si>
    <r>
      <t>Cena koštanja sa CO</t>
    </r>
    <r>
      <rPr>
        <sz val="11"/>
        <color theme="1"/>
        <rFont val="Calibri"/>
        <family val="2"/>
      </rPr>
      <t xml:space="preserve">² </t>
    </r>
    <r>
      <rPr>
        <sz val="11"/>
        <color theme="1"/>
        <rFont val="Calibri"/>
        <family val="2"/>
        <scheme val="minor"/>
      </rPr>
      <t>(EUR/MWh)</t>
    </r>
  </si>
  <si>
    <r>
      <t>Emisija CO</t>
    </r>
    <r>
      <rPr>
        <sz val="11"/>
        <color theme="1"/>
        <rFont val="Calibri"/>
        <family val="2"/>
      </rPr>
      <t xml:space="preserve">² </t>
    </r>
    <r>
      <rPr>
        <sz val="11"/>
        <color theme="1"/>
        <rFont val="Calibri"/>
        <family val="2"/>
        <scheme val="minor"/>
      </rPr>
      <t>(EUR/MWh)</t>
    </r>
  </si>
  <si>
    <t>Bazni slučaj</t>
  </si>
  <si>
    <t>NPV</t>
  </si>
  <si>
    <t>IRR</t>
  </si>
  <si>
    <t>NPV = 0</t>
  </si>
  <si>
    <t>Cena toplote</t>
  </si>
  <si>
    <t>Koeficijent performanse</t>
  </si>
  <si>
    <t>Investicije</t>
  </si>
  <si>
    <t>Ukupno troškovi cash flow</t>
  </si>
  <si>
    <t>Nominalni prihodi</t>
  </si>
  <si>
    <t>Projekat “Bolja energija"</t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</si>
  <si>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</si>
  <si>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Toplota iz DH na gas</t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</si>
  <si>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</si>
  <si>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</si>
  <si>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r>
      <t>NPV CO</t>
    </r>
    <r>
      <rPr>
        <sz val="11"/>
        <color theme="0"/>
        <rFont val="Calibri"/>
        <family val="2"/>
      </rPr>
      <t>₂</t>
    </r>
  </si>
  <si>
    <r>
      <t>IRR CO</t>
    </r>
    <r>
      <rPr>
        <sz val="11"/>
        <color theme="0"/>
        <rFont val="Calibri"/>
        <family val="2"/>
      </rPr>
      <t xml:space="preserve">₂ </t>
    </r>
    <r>
      <rPr>
        <sz val="11"/>
        <color theme="0"/>
        <rFont val="Calibri"/>
        <family val="2"/>
        <scheme val="minor"/>
      </rPr>
      <t>(%)</t>
    </r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</si>
  <si>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</si>
  <si>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</si>
  <si>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</si>
  <si>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</si>
  <si>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</si>
  <si>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</si>
  <si>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</si>
  <si>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</si>
  <si>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</si>
  <si>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</si>
  <si>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</si>
  <si>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</si>
  <si>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</si>
  <si>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</si>
  <si>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</si>
  <si>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</si>
  <si>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Suncokret ljuska</t>
  </si>
  <si>
    <t>Toplota (kupljena)</t>
  </si>
  <si>
    <t>Električna energija OIE</t>
  </si>
  <si>
    <t>Toplota iz DH</t>
  </si>
  <si>
    <r>
      <t>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</si>
  <si>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Drvo nesertifikovano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</si>
</sst>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.00;[Red]\-&quot;$&quot;#,##0.00"/>
    <numFmt numFmtId="165" formatCode="0.0%"/>
    <numFmt numFmtId="166" formatCode="#,##0.00_ ;[Red]\-#,##0.00\ "/>
    <numFmt numFmtId="167" formatCode="#,##0_ ;[Red]\-#,##0\ "/>
    <numFmt numFmtId="168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6"/>
      <color theme="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9"/>
      <color rgb="FF002F6C"/>
      <name val="Gill Sans MT"/>
      <family val="2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87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7" fillId="0" borderId="0" xfId="1" applyFill="1" applyAlignment="1"/>
    <xf numFmtId="4" fontId="0" fillId="0" borderId="0" xfId="0" applyNumberFormat="1" applyAlignment="1" applyProtection="1">
      <alignment horizontal="center"/>
      <protection locked="0"/>
    </xf>
    <xf numFmtId="165" fontId="10" fillId="0" borderId="0" xfId="2" applyNumberFormat="1" applyFont="1"/>
    <xf numFmtId="165" fontId="11" fillId="0" borderId="0" xfId="2" applyNumberFormat="1" applyFont="1"/>
    <xf numFmtId="0" fontId="0" fillId="5" borderId="0" xfId="0" applyFill="1"/>
    <xf numFmtId="4" fontId="0" fillId="5" borderId="0" xfId="0" applyNumberFormat="1" applyFill="1"/>
    <xf numFmtId="0" fontId="13" fillId="0" borderId="0" xfId="0" applyFont="1" applyAlignment="1">
      <alignment horizontal="left"/>
    </xf>
    <xf numFmtId="164" fontId="0" fillId="0" borderId="0" xfId="0" applyNumberFormat="1"/>
    <xf numFmtId="166" fontId="0" fillId="0" borderId="0" xfId="0" applyNumberFormat="1"/>
    <xf numFmtId="10" fontId="0" fillId="0" borderId="0" xfId="2" applyNumberFormat="1" applyFont="1"/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Continuous"/>
    </xf>
    <xf numFmtId="0" fontId="14" fillId="0" borderId="1" xfId="0" applyFont="1" applyBorder="1" applyAlignment="1">
      <alignment horizontal="center"/>
    </xf>
    <xf numFmtId="0" fontId="14" fillId="0" borderId="0" xfId="0" applyFont="1"/>
    <xf numFmtId="0" fontId="13" fillId="8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164" fontId="0" fillId="8" borderId="0" xfId="0" applyNumberFormat="1" applyFill="1"/>
    <xf numFmtId="0" fontId="0" fillId="8" borderId="0" xfId="0" applyFill="1"/>
    <xf numFmtId="10" fontId="0" fillId="8" borderId="0" xfId="0" applyNumberFormat="1" applyFill="1"/>
    <xf numFmtId="4" fontId="0" fillId="8" borderId="0" xfId="0" applyNumberFormat="1" applyFill="1"/>
    <xf numFmtId="0" fontId="0" fillId="8" borderId="0" xfId="0" applyFill="1" applyAlignment="1">
      <alignment horizontal="left"/>
    </xf>
    <xf numFmtId="2" fontId="0" fillId="8" borderId="0" xfId="0" applyNumberFormat="1" applyFill="1"/>
    <xf numFmtId="166" fontId="0" fillId="8" borderId="0" xfId="0" applyNumberFormat="1" applyFill="1"/>
    <xf numFmtId="167" fontId="0" fillId="0" borderId="0" xfId="0" applyNumberFormat="1"/>
    <xf numFmtId="167" fontId="0" fillId="0" borderId="0" xfId="2" applyNumberFormat="1" applyFont="1"/>
    <xf numFmtId="167" fontId="0" fillId="8" borderId="0" xfId="0" applyNumberFormat="1" applyFill="1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/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8" fontId="13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20" fillId="0" borderId="0" xfId="0" applyFont="1"/>
    <xf numFmtId="0" fontId="18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8" fillId="6" borderId="0" xfId="1" applyFont="1" applyFill="1" applyAlignment="1" applyProtection="1">
      <alignment horizontal="center" vertical="distributed"/>
      <protection locked="0"/>
    </xf>
    <xf numFmtId="0" fontId="0" fillId="0" borderId="0" xfId="0" applyAlignment="1">
      <alignment horizontal="center"/>
    </xf>
    <xf numFmtId="0" fontId="8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8" fillId="6" borderId="0" xfId="1" applyFont="1" applyFill="1" applyAlignment="1" applyProtection="1">
      <alignment horizontal="center"/>
      <protection locked="0"/>
    </xf>
    <xf numFmtId="0" fontId="8" fillId="7" borderId="0" xfId="1" applyFon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left"/>
    </xf>
    <xf numFmtId="0" fontId="0" fillId="0" borderId="0" xfId="0"/>
    <xf numFmtId="0" fontId="3" fillId="4" borderId="0" xfId="0" applyFont="1" applyFill="1" applyAlignment="1" applyProtection="1">
      <alignment horizontal="center" vertical="distributed"/>
      <protection locked="0"/>
    </xf>
    <xf numFmtId="167" fontId="8" fillId="7" borderId="0" xfId="1" applyNumberFormat="1" applyFont="1" applyFill="1" applyAlignment="1" applyProtection="1">
      <alignment horizontal="center" vertical="distributed"/>
      <protection locked="0"/>
    </xf>
    <xf numFmtId="10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4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FinaIndicators!$E$58:$Y$58</c:f>
              <c:numCache>
                <c:formatCode>#,##0.00</c:formatCode>
                <c:ptCount val="21"/>
                <c:pt idx="0">
                  <c:v>-3235000</c:v>
                </c:pt>
                <c:pt idx="1">
                  <c:v>-2794158.6217556819</c:v>
                </c:pt>
                <c:pt idx="2">
                  <c:v>-2216485.6974311657</c:v>
                </c:pt>
                <c:pt idx="3">
                  <c:v>-1588547.3200333714</c:v>
                </c:pt>
                <c:pt idx="4">
                  <c:v>-913239.0888578305</c:v>
                </c:pt>
                <c:pt idx="5">
                  <c:v>-193294.39156736806</c:v>
                </c:pt>
                <c:pt idx="6">
                  <c:v>568706.25337504409</c:v>
                </c:pt>
                <c:pt idx="7">
                  <c:v>1370326.3777457308</c:v>
                </c:pt>
                <c:pt idx="8">
                  <c:v>2209265.2379293405</c:v>
                </c:pt>
                <c:pt idx="9">
                  <c:v>3083349.9541640617</c:v>
                </c:pt>
                <c:pt idx="10">
                  <c:v>3990528.0878016464</c:v>
                </c:pt>
                <c:pt idx="11">
                  <c:v>4928860.6312211063</c:v>
                </c:pt>
                <c:pt idx="12">
                  <c:v>5896515.3864485249</c:v>
                </c:pt>
                <c:pt idx="13">
                  <c:v>6891760.7098671738</c:v>
                </c:pt>
                <c:pt idx="14">
                  <c:v>7912959.601656599</c:v>
                </c:pt>
                <c:pt idx="15">
                  <c:v>8958564.1197808925</c:v>
                </c:pt>
                <c:pt idx="16">
                  <c:v>10117830.584451407</c:v>
                </c:pt>
                <c:pt idx="17">
                  <c:v>11295040.001078503</c:v>
                </c:pt>
                <c:pt idx="18">
                  <c:v>12489173.128087612</c:v>
                </c:pt>
                <c:pt idx="19">
                  <c:v>13699268.621478088</c:v>
                </c:pt>
                <c:pt idx="20">
                  <c:v>14924419.745976733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F29-415B-99FA-BC2B30324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9666432"/>
        <c:axId val="160669696"/>
      </c:barChart>
      <c:lineChart>
        <c:grouping val="standard"/>
        <c:varyColors val="0"/>
        <c:ser>
          <c:idx val="0"/>
          <c:order val="0"/>
          <c:tx>
            <c:strRef>
              <c:f>FinaIndicators!$A$61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FinaIndicators!$E$61:$Y$61</c:f>
              <c:numCache>
                <c:formatCode>#,##0.00</c:formatCode>
                <c:ptCount val="21"/>
                <c:pt idx="0">
                  <c:v>3235000</c:v>
                </c:pt>
                <c:pt idx="1">
                  <c:v>4185798.3590641357</c:v>
                </c:pt>
                <c:pt idx="2">
                  <c:v>5083263.5562865809</c:v>
                </c:pt>
                <c:pt idx="3">
                  <c:v>5930463.300435748</c:v>
                </c:pt>
                <c:pt idx="4">
                  <c:v>6730293.1908071684</c:v>
                </c:pt>
                <c:pt idx="5">
                  <c:v>7485486.6150636673</c:v>
                </c:pt>
                <c:pt idx="6">
                  <c:v>8198624.0916682165</c:v>
                </c:pt>
                <c:pt idx="7">
                  <c:v>8872142.0888444912</c:v>
                </c:pt>
                <c:pt idx="8">
                  <c:v>9508341.3502078429</c:v>
                </c:pt>
                <c:pt idx="9">
                  <c:v>10109394.755520083</c:v>
                </c:pt>
                <c:pt idx="10">
                  <c:v>10677354.74342946</c:v>
                </c:pt>
                <c:pt idx="11">
                  <c:v>11214160.321556961</c:v>
                </c:pt>
                <c:pt idx="12">
                  <c:v>11721643.687876504</c:v>
                </c:pt>
                <c:pt idx="13">
                  <c:v>12201536.486004816</c:v>
                </c:pt>
                <c:pt idx="14">
                  <c:v>12655475.715762353</c:v>
                </c:pt>
                <c:pt idx="15">
                  <c:v>13085009.31918502</c:v>
                </c:pt>
                <c:pt idx="16">
                  <c:v>13400880.976061467</c:v>
                </c:pt>
                <c:pt idx="17">
                  <c:v>13698809.680981332</c:v>
                </c:pt>
                <c:pt idx="18">
                  <c:v>13979814.675519185</c:v>
                </c:pt>
                <c:pt idx="19">
                  <c:v>14244857.30367567</c:v>
                </c:pt>
                <c:pt idx="20">
                  <c:v>14494844.300723987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F29-415B-99FA-BC2B303249A5}"/>
            </c:ext>
          </c:extLst>
        </c:ser>
        <c:ser>
          <c:idx val="1"/>
          <c:order val="1"/>
          <c:tx>
            <c:strRef>
              <c:f>FinaIndicators!$A$62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FinaIndicators!$E$62:$Y$62</c:f>
              <c:numCache>
                <c:formatCode>#,##0.00</c:formatCode>
                <c:ptCount val="21"/>
                <c:pt idx="1">
                  <c:v>1391639.737308454</c:v>
                </c:pt>
                <c:pt idx="2">
                  <c:v>2866777.8588554151</c:v>
                </c:pt>
                <c:pt idx="3">
                  <c:v>4341915.9804023765</c:v>
                </c:pt>
                <c:pt idx="4">
                  <c:v>5817054.1019493379</c:v>
                </c:pt>
                <c:pt idx="5">
                  <c:v>7292192.2234962992</c:v>
                </c:pt>
                <c:pt idx="6">
                  <c:v>8767330.3450432606</c:v>
                </c:pt>
                <c:pt idx="7">
                  <c:v>10242468.466590222</c:v>
                </c:pt>
                <c:pt idx="8">
                  <c:v>11717606.588137183</c:v>
                </c:pt>
                <c:pt idx="9">
                  <c:v>13192744.709684145</c:v>
                </c:pt>
                <c:pt idx="10">
                  <c:v>14667882.831231106</c:v>
                </c:pt>
                <c:pt idx="11">
                  <c:v>16143020.952778067</c:v>
                </c:pt>
                <c:pt idx="12">
                  <c:v>17618159.074325029</c:v>
                </c:pt>
                <c:pt idx="13">
                  <c:v>19093297.19587199</c:v>
                </c:pt>
                <c:pt idx="14">
                  <c:v>20568435.317418952</c:v>
                </c:pt>
                <c:pt idx="15">
                  <c:v>22043573.438965913</c:v>
                </c:pt>
                <c:pt idx="16">
                  <c:v>23518711.560512874</c:v>
                </c:pt>
                <c:pt idx="17">
                  <c:v>24993849.682059836</c:v>
                </c:pt>
                <c:pt idx="18">
                  <c:v>26468987.803606797</c:v>
                </c:pt>
                <c:pt idx="19">
                  <c:v>27944125.925153758</c:v>
                </c:pt>
                <c:pt idx="20">
                  <c:v>29419264.04670072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F29-415B-99FA-BC2B30324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9666432"/>
        <c:axId val="160669696"/>
      </c:lineChart>
      <c:catAx>
        <c:axId val="179666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69696"/>
        <c:crosses val="autoZero"/>
        <c:auto val="1"/>
        <c:lblAlgn val="ctr"/>
        <c:lblOffset val="100"/>
        <c:noMultiLvlLbl val="0"/>
      </c:catAx>
      <c:valAx>
        <c:axId val="16066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66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'FinInd+CO2'!$A$58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'FinInd+CO2'!$E$58:$Y$58</c:f>
              <c:numCache>
                <c:formatCode>#,##0.00</c:formatCode>
                <c:ptCount val="21"/>
                <c:pt idx="0">
                  <c:v>-3235000</c:v>
                </c:pt>
                <c:pt idx="1">
                  <c:v>-2810348.8013673602</c:v>
                </c:pt>
                <c:pt idx="2">
                  <c:v>-2410496.2542266538</c:v>
                </c:pt>
                <c:pt idx="3">
                  <c:v>-2034071.8237039587</c:v>
                </c:pt>
                <c:pt idx="4">
                  <c:v>-1679784.9779504193</c:v>
                </c:pt>
                <c:pt idx="5">
                  <c:v>-1346420.7648417288</c:v>
                </c:pt>
                <c:pt idx="6">
                  <c:v>-1032835.6467764582</c:v>
                </c:pt>
                <c:pt idx="7">
                  <c:v>-737953.57929738052</c:v>
                </c:pt>
                <c:pt idx="8">
                  <c:v>-460762.32009263895</c:v>
                </c:pt>
                <c:pt idx="9">
                  <c:v>-200309.95572014712</c:v>
                </c:pt>
                <c:pt idx="10">
                  <c:v>44298.365858148783</c:v>
                </c:pt>
                <c:pt idx="11">
                  <c:v>273903.50814321078</c:v>
                </c:pt>
                <c:pt idx="12">
                  <c:v>489295.23491418548</c:v>
                </c:pt>
                <c:pt idx="13">
                  <c:v>691214.92491147108</c:v>
                </c:pt>
                <c:pt idx="14">
                  <c:v>880358.12171335891</c:v>
                </c:pt>
                <c:pt idx="15">
                  <c:v>1057376.9275703728</c:v>
                </c:pt>
                <c:pt idx="16">
                  <c:v>1313602.7344223838</c:v>
                </c:pt>
                <c:pt idx="17">
                  <c:v>1555273.7458620928</c:v>
                </c:pt>
                <c:pt idx="18">
                  <c:v>1783216.7407065779</c:v>
                </c:pt>
                <c:pt idx="19">
                  <c:v>1998211.5329621434</c:v>
                </c:pt>
                <c:pt idx="20">
                  <c:v>2200993.6396399532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85-4B75-892B-14792F48C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9539968"/>
        <c:axId val="160673728"/>
      </c:barChart>
      <c:lineChart>
        <c:grouping val="standard"/>
        <c:varyColors val="0"/>
        <c:ser>
          <c:idx val="0"/>
          <c:order val="0"/>
          <c:tx>
            <c:strRef>
              <c:f>'FinInd+CO2'!$A$62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'FinInd+CO2'!$E$62:$Y$62</c:f>
              <c:numCache>
                <c:formatCode>#,##0.00</c:formatCode>
                <c:ptCount val="21"/>
                <c:pt idx="0">
                  <c:v>3235000</c:v>
                </c:pt>
                <c:pt idx="1">
                  <c:v>4182993.5381737179</c:v>
                </c:pt>
                <c:pt idx="2">
                  <c:v>5077813.2411353681</c:v>
                </c:pt>
                <c:pt idx="3">
                  <c:v>5922517.7671735296</c:v>
                </c:pt>
                <c:pt idx="4">
                  <c:v>6719994.1792124668</c:v>
                </c:pt>
                <c:pt idx="5">
                  <c:v>7472967.8134485902</c:v>
                </c:pt>
                <c:pt idx="6">
                  <c:v>8184011.5942385029</c:v>
                </c:pt>
                <c:pt idx="7">
                  <c:v>8855554.8270794172</c:v>
                </c:pt>
                <c:pt idx="8">
                  <c:v>9489891.4997357801</c:v>
                </c:pt>
                <c:pt idx="9">
                  <c:v>10089188.119881667</c:v>
                </c:pt>
                <c:pt idx="10">
                  <c:v>10655491.116041264</c:v>
                </c:pt>
                <c:pt idx="11">
                  <c:v>11190733.827113973</c:v>
                </c:pt>
                <c:pt idx="12">
                  <c:v>11696743.104361387</c:v>
                </c:pt>
                <c:pt idx="13">
                  <c:v>12175245.54840558</c:v>
                </c:pt>
                <c:pt idx="14">
                  <c:v>12627873.402537465</c:v>
                </c:pt>
                <c:pt idx="15">
                  <c:v>13056170.122456001</c:v>
                </c:pt>
                <c:pt idx="16">
                  <c:v>13370875.156457299</c:v>
                </c:pt>
                <c:pt idx="17">
                  <c:v>13667703.50800656</c:v>
                </c:pt>
                <c:pt idx="18">
                  <c:v>13947670.654267995</c:v>
                </c:pt>
                <c:pt idx="19">
                  <c:v>14211734.388667583</c:v>
                </c:pt>
                <c:pt idx="20">
                  <c:v>14460798.097592711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E85-4B75-892B-14792F48C15D}"/>
            </c:ext>
          </c:extLst>
        </c:ser>
        <c:ser>
          <c:idx val="1"/>
          <c:order val="1"/>
          <c:tx>
            <c:strRef>
              <c:f>'FinInd+CO2'!$A$63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'FinInd+CO2'!$E$63:$Y$63</c:f>
              <c:numCache>
                <c:formatCode>#,##0.00</c:formatCode>
                <c:ptCount val="21"/>
                <c:pt idx="0">
                  <c:v>0</c:v>
                </c:pt>
                <c:pt idx="1">
                  <c:v>1372644.7368063575</c:v>
                </c:pt>
                <c:pt idx="2">
                  <c:v>2667316.9869087143</c:v>
                </c:pt>
                <c:pt idx="3">
                  <c:v>3888445.9434695709</c:v>
                </c:pt>
                <c:pt idx="4">
                  <c:v>5040209.2012620475</c:v>
                </c:pt>
                <c:pt idx="5">
                  <c:v>6126547.0486068614</c:v>
                </c:pt>
                <c:pt idx="6">
                  <c:v>7151175.9474620447</c:v>
                </c:pt>
                <c:pt idx="7">
                  <c:v>8117601.2477820367</c:v>
                </c:pt>
                <c:pt idx="8">
                  <c:v>9029129.1796431411</c:v>
                </c:pt>
                <c:pt idx="9">
                  <c:v>9888878.1641615201</c:v>
                </c:pt>
                <c:pt idx="10">
                  <c:v>10699789.481899412</c:v>
                </c:pt>
                <c:pt idx="11">
                  <c:v>11464637.335257184</c:v>
                </c:pt>
                <c:pt idx="12">
                  <c:v>12186038.339275572</c:v>
                </c:pt>
                <c:pt idx="13">
                  <c:v>12866460.473317051</c:v>
                </c:pt>
                <c:pt idx="14">
                  <c:v>13508231.524250824</c:v>
                </c:pt>
                <c:pt idx="15">
                  <c:v>14113547.050026374</c:v>
                </c:pt>
                <c:pt idx="16">
                  <c:v>14684477.890879683</c:v>
                </c:pt>
                <c:pt idx="17">
                  <c:v>15222977.253868653</c:v>
                </c:pt>
                <c:pt idx="18">
                  <c:v>15730887.394974573</c:v>
                </c:pt>
                <c:pt idx="19">
                  <c:v>16209945.921629727</c:v>
                </c:pt>
                <c:pt idx="20">
                  <c:v>16661791.737232665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E85-4B75-892B-14792F48C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9539968"/>
        <c:axId val="160673728"/>
      </c:lineChart>
      <c:catAx>
        <c:axId val="17953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673728"/>
        <c:crosses val="autoZero"/>
        <c:auto val="1"/>
        <c:lblAlgn val="ctr"/>
        <c:lblOffset val="100"/>
        <c:noMultiLvlLbl val="0"/>
      </c:catAx>
      <c:valAx>
        <c:axId val="16067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53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električne energije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#.##0_ ;[Red]\-#.##0\ </c:formatCode>
                <c:ptCount val="2"/>
                <c:pt idx="0">
                  <c:v>1713406.5649966679</c:v>
                </c:pt>
                <c:pt idx="1">
                  <c:v>2802466.2749419129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6E2-4E9F-A395-4C29AEA3C0C5}"/>
            </c:ext>
          </c:extLst>
        </c:ser>
        <c:ser>
          <c:idx val="1"/>
          <c:order val="1"/>
          <c:tx>
            <c:strRef>
              <c:f>Osetljivost!$A$19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Osetljivost!$B$20:$B$21</c:f>
              <c:numCache>
                <c:formatCode>#.##0_ ;[Red]\-#.##0\ </c:formatCode>
                <c:ptCount val="2"/>
                <c:pt idx="0">
                  <c:v>3611936.0490040705</c:v>
                </c:pt>
                <c:pt idx="1">
                  <c:v>903936.79093451228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6E2-4E9F-A395-4C29AEA3C0C5}"/>
            </c:ext>
          </c:extLst>
        </c:ser>
        <c:ser>
          <c:idx val="2"/>
          <c:order val="2"/>
          <c:tx>
            <c:strRef>
              <c:f>Osetljivost!$A$24</c:f>
              <c:strCache>
                <c:ptCount val="1"/>
                <c:pt idx="0">
                  <c:v>Koeficijent performanse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Osetljivost!$B$25:$B$26</c:f>
              <c:numCache>
                <c:formatCode>#.##0_ ;[Red]\-#.##0\ </c:formatCode>
                <c:ptCount val="2"/>
                <c:pt idx="0">
                  <c:v>2722024.364548231</c:v>
                </c:pt>
                <c:pt idx="1">
                  <c:v>1690717.8210394762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6E2-4E9F-A395-4C29AEA3C0C5}"/>
            </c:ext>
          </c:extLst>
        </c:ser>
        <c:ser>
          <c:idx val="3"/>
          <c:order val="3"/>
          <c:tx>
            <c:strRef>
              <c:f>Osetljivost!$A$29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Osetljivost!$B$30:$B$31</c:f>
              <c:numCache>
                <c:formatCode>#.##0_ ;[Red]\-#.##0\ </c:formatCode>
                <c:ptCount val="2"/>
                <c:pt idx="0">
                  <c:v>1331420.3375798508</c:v>
                </c:pt>
                <c:pt idx="1">
                  <c:v>3307380.5227466547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8C2-40C2-B0ED-03FF3E59E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123136"/>
        <c:axId val="179144384"/>
      </c:lineChart>
      <c:catAx>
        <c:axId val="18012313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44384"/>
        <c:crosses val="autoZero"/>
        <c:auto val="1"/>
        <c:lblAlgn val="ctr"/>
        <c:lblOffset val="100"/>
        <c:noMultiLvlLbl val="0"/>
      </c:catAx>
      <c:valAx>
        <c:axId val="17914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_ ;[Red]\-#.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2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9901952"/>
        <c:axId val="179150144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v>EBTDA diskontovano, kumulativno</c:v>
                </c:tx>
                <c:spPr>
                  <a:gradFill rotWithShape="1">
                    <a:gsLst>
                      <a:gs pos="0">
                        <a:schemeClr val="accent3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3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3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invertIfNegative val="0"/>
                <c:val>
                  <c:numLit>
                    <c:formatCode>General</c:formatCode>
                    <c:ptCount val="21"/>
                    <c:pt idx="1">
                      <c:v>-127314.3846725547</c:v>
                    </c:pt>
                    <c:pt idx="2">
                      <c:v>-105377.81555243285</c:v>
                    </c:pt>
                    <c:pt idx="3">
                      <c:v>-83007.129023242771</c:v>
                    </c:pt>
                    <c:pt idx="4">
                      <c:v>-60191.472149757727</c:v>
                    </c:pt>
                    <c:pt idx="5">
                      <c:v>-36919.720673370408</c:v>
                    </c:pt>
                    <c:pt idx="6">
                      <c:v>-13180.472229008214</c:v>
                    </c:pt>
                    <c:pt idx="7">
                      <c:v>11037.960607528221</c:v>
                    </c:pt>
                    <c:pt idx="8">
                      <c:v>35747.55744604324</c:v>
                    </c:pt>
                    <c:pt idx="9">
                      <c:v>60960.597386586305</c:v>
                    </c:pt>
                    <c:pt idx="10">
                      <c:v>86173.637327129371</c:v>
                    </c:pt>
                    <c:pt idx="11">
                      <c:v>111386.67726767249</c:v>
                    </c:pt>
                    <c:pt idx="12">
                      <c:v>136599.71720821562</c:v>
                    </c:pt>
                    <c:pt idx="13">
                      <c:v>161812.75714875874</c:v>
                    </c:pt>
                    <c:pt idx="14">
                      <c:v>187025.79708930186</c:v>
                    </c:pt>
                    <c:pt idx="15">
                      <c:v>212238.83702984499</c:v>
                    </c:pt>
                    <c:pt idx="16">
                      <c:v>237451.87697038811</c:v>
                    </c:pt>
                    <c:pt idx="17">
                      <c:v>262664.91691093124</c:v>
                    </c:pt>
                    <c:pt idx="18">
                      <c:v>287877.95685147436</c:v>
                    </c:pt>
                    <c:pt idx="19">
                      <c:v>313090.99679201748</c:v>
                    </c:pt>
                    <c:pt idx="20">
                      <c:v>338304.03673256061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1-A278-42EF-8129-BCA5A7DA929A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78-42EF-8129-BCA5A7DA9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9901952"/>
        <c:axId val="179150144"/>
        <c:extLst xmlns:c16r2="http://schemas.microsoft.com/office/drawing/2015/06/chart"/>
      </c:lineChart>
      <c:catAx>
        <c:axId val="179901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150144"/>
        <c:crosses val="autoZero"/>
        <c:auto val="1"/>
        <c:lblAlgn val="ctr"/>
        <c:lblOffset val="100"/>
        <c:noMultiLvlLbl val="0"/>
      </c:catAx>
      <c:valAx>
        <c:axId val="1791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90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2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5.png"/><Relationship Id="rId1" Type="http://schemas.openxmlformats.org/officeDocument/2006/relationships/hyperlink" Target="#Pocetna!B2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PROJEKAT%20-%20POCETNA%20STRANA.xlsx" TargetMode="External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A1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95250</xdr:rowOff>
    </xdr:from>
    <xdr:to>
      <xdr:col>4</xdr:col>
      <xdr:colOff>60325</xdr:colOff>
      <xdr:row>5</xdr:row>
      <xdr:rowOff>47173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57150</xdr:colOff>
      <xdr:row>1</xdr:row>
      <xdr:rowOff>57150</xdr:rowOff>
    </xdr:from>
    <xdr:to>
      <xdr:col>14</xdr:col>
      <xdr:colOff>26670</xdr:colOff>
      <xdr:row>4</xdr:row>
      <xdr:rowOff>64770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1950" y="2476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219075</xdr:colOff>
      <xdr:row>15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247650</xdr:colOff>
      <xdr:row>0</xdr:row>
      <xdr:rowOff>85725</xdr:rowOff>
    </xdr:from>
    <xdr:to>
      <xdr:col>4</xdr:col>
      <xdr:colOff>107950</xdr:colOff>
      <xdr:row>5</xdr:row>
      <xdr:rowOff>37648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857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542925</xdr:colOff>
      <xdr:row>1</xdr:row>
      <xdr:rowOff>95250</xdr:rowOff>
    </xdr:from>
    <xdr:to>
      <xdr:col>12</xdr:col>
      <xdr:colOff>512445</xdr:colOff>
      <xdr:row>4</xdr:row>
      <xdr:rowOff>102870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5" y="2857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6</xdr:row>
      <xdr:rowOff>85725</xdr:rowOff>
    </xdr:from>
    <xdr:to>
      <xdr:col>11</xdr:col>
      <xdr:colOff>619125</xdr:colOff>
      <xdr:row>8</xdr:row>
      <xdr:rowOff>94903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01000" y="85725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171450</xdr:colOff>
      <xdr:row>0</xdr:row>
      <xdr:rowOff>95250</xdr:rowOff>
    </xdr:from>
    <xdr:to>
      <xdr:col>4</xdr:col>
      <xdr:colOff>31750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695325</xdr:colOff>
      <xdr:row>1</xdr:row>
      <xdr:rowOff>114300</xdr:rowOff>
    </xdr:from>
    <xdr:to>
      <xdr:col>12</xdr:col>
      <xdr:colOff>436245</xdr:colOff>
      <xdr:row>4</xdr:row>
      <xdr:rowOff>121920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0" y="3048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33</xdr:row>
      <xdr:rowOff>0</xdr:rowOff>
    </xdr:from>
    <xdr:to>
      <xdr:col>1</xdr:col>
      <xdr:colOff>523875</xdr:colOff>
      <xdr:row>35</xdr:row>
      <xdr:rowOff>9178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1866900"/>
          <a:ext cx="438150" cy="390178"/>
        </a:xfrm>
        <a:prstGeom prst="rect">
          <a:avLst/>
        </a:prstGeom>
      </xdr:spPr>
    </xdr:pic>
    <xdr:clientData fLocksWithSheet="0"/>
  </xdr:twoCellAnchor>
  <xdr:twoCellAnchor>
    <xdr:from>
      <xdr:col>7</xdr:col>
      <xdr:colOff>228600</xdr:colOff>
      <xdr:row>8</xdr:row>
      <xdr:rowOff>80962</xdr:rowOff>
    </xdr:from>
    <xdr:to>
      <xdr:col>14</xdr:col>
      <xdr:colOff>533400</xdr:colOff>
      <xdr:row>22</xdr:row>
      <xdr:rowOff>138112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219075</xdr:colOff>
      <xdr:row>0</xdr:row>
      <xdr:rowOff>38100</xdr:rowOff>
    </xdr:from>
    <xdr:to>
      <xdr:col>3</xdr:col>
      <xdr:colOff>260350</xdr:colOff>
      <xdr:row>4</xdr:row>
      <xdr:rowOff>180523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381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542925</xdr:colOff>
      <xdr:row>1</xdr:row>
      <xdr:rowOff>76200</xdr:rowOff>
    </xdr:from>
    <xdr:to>
      <xdr:col>11</xdr:col>
      <xdr:colOff>512445</xdr:colOff>
      <xdr:row>4</xdr:row>
      <xdr:rowOff>83820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0" y="2667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114300</xdr:colOff>
      <xdr:row>6</xdr:row>
      <xdr:rowOff>0</xdr:rowOff>
    </xdr:from>
    <xdr:to>
      <xdr:col>11</xdr:col>
      <xdr:colOff>504478</xdr:colOff>
      <xdr:row>7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9900" y="0"/>
          <a:ext cx="390178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142875</xdr:colOff>
      <xdr:row>0</xdr:row>
      <xdr:rowOff>123825</xdr:rowOff>
    </xdr:from>
    <xdr:to>
      <xdr:col>4</xdr:col>
      <xdr:colOff>3175</xdr:colOff>
      <xdr:row>5</xdr:row>
      <xdr:rowOff>75748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238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504825</xdr:colOff>
      <xdr:row>1</xdr:row>
      <xdr:rowOff>133350</xdr:rowOff>
    </xdr:from>
    <xdr:to>
      <xdr:col>12</xdr:col>
      <xdr:colOff>426720</xdr:colOff>
      <xdr:row>4</xdr:row>
      <xdr:rowOff>140970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34350" y="3238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10</xdr:row>
      <xdr:rowOff>0</xdr:rowOff>
    </xdr:from>
    <xdr:to>
      <xdr:col>2</xdr:col>
      <xdr:colOff>504478</xdr:colOff>
      <xdr:row>12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0" y="762000"/>
          <a:ext cx="390178" cy="390178"/>
        </a:xfrm>
        <a:prstGeom prst="rect">
          <a:avLst/>
        </a:prstGeom>
      </xdr:spPr>
    </xdr:pic>
    <xdr:clientData fLocksWithSheet="0"/>
  </xdr:twoCellAnchor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104775</xdr:colOff>
      <xdr:row>0</xdr:row>
      <xdr:rowOff>85725</xdr:rowOff>
    </xdr:from>
    <xdr:to>
      <xdr:col>3</xdr:col>
      <xdr:colOff>574675</xdr:colOff>
      <xdr:row>5</xdr:row>
      <xdr:rowOff>37648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857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428625</xdr:colOff>
      <xdr:row>1</xdr:row>
      <xdr:rowOff>66675</xdr:rowOff>
    </xdr:from>
    <xdr:to>
      <xdr:col>12</xdr:col>
      <xdr:colOff>398145</xdr:colOff>
      <xdr:row>4</xdr:row>
      <xdr:rowOff>74295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34225" y="2571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114300</xdr:colOff>
      <xdr:row>19</xdr:row>
      <xdr:rowOff>0</xdr:rowOff>
    </xdr:from>
    <xdr:to>
      <xdr:col>3</xdr:col>
      <xdr:colOff>504478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3100" y="2476500"/>
          <a:ext cx="390178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47625</xdr:colOff>
      <xdr:row>0</xdr:row>
      <xdr:rowOff>76200</xdr:rowOff>
    </xdr:from>
    <xdr:to>
      <xdr:col>3</xdr:col>
      <xdr:colOff>517525</xdr:colOff>
      <xdr:row>5</xdr:row>
      <xdr:rowOff>28123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762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533400</xdr:colOff>
      <xdr:row>1</xdr:row>
      <xdr:rowOff>114300</xdr:rowOff>
    </xdr:from>
    <xdr:to>
      <xdr:col>9</xdr:col>
      <xdr:colOff>502920</xdr:colOff>
      <xdr:row>4</xdr:row>
      <xdr:rowOff>121920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0200" y="3048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6212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0</xdr:row>
      <xdr:rowOff>161925</xdr:rowOff>
    </xdr:from>
    <xdr:to>
      <xdr:col>8</xdr:col>
      <xdr:colOff>579120</xdr:colOff>
      <xdr:row>3</xdr:row>
      <xdr:rowOff>169545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0" y="1619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390525</xdr:colOff>
      <xdr:row>12</xdr:row>
      <xdr:rowOff>123825</xdr:rowOff>
    </xdr:from>
    <xdr:to>
      <xdr:col>16</xdr:col>
      <xdr:colOff>219875</xdr:colOff>
      <xdr:row>14</xdr:row>
      <xdr:rowOff>133003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4573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219075</xdr:colOff>
      <xdr:row>0</xdr:row>
      <xdr:rowOff>104775</xdr:rowOff>
    </xdr:from>
    <xdr:to>
      <xdr:col>4</xdr:col>
      <xdr:colOff>79375</xdr:colOff>
      <xdr:row>5</xdr:row>
      <xdr:rowOff>56698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57150</xdr:colOff>
      <xdr:row>1</xdr:row>
      <xdr:rowOff>66675</xdr:rowOff>
    </xdr:from>
    <xdr:to>
      <xdr:col>14</xdr:col>
      <xdr:colOff>26670</xdr:colOff>
      <xdr:row>4</xdr:row>
      <xdr:rowOff>74295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2571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21</xdr:row>
          <xdr:rowOff>9525</xdr:rowOff>
        </xdr:from>
        <xdr:to>
          <xdr:col>9</xdr:col>
          <xdr:colOff>923925</xdr:colOff>
          <xdr:row>22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95250</xdr:colOff>
      <xdr:row>11</xdr:row>
      <xdr:rowOff>0</xdr:rowOff>
    </xdr:from>
    <xdr:to>
      <xdr:col>15</xdr:col>
      <xdr:colOff>533400</xdr:colOff>
      <xdr:row>13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19200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361950</xdr:colOff>
      <xdr:row>0</xdr:row>
      <xdr:rowOff>114300</xdr:rowOff>
    </xdr:from>
    <xdr:to>
      <xdr:col>4</xdr:col>
      <xdr:colOff>222250</xdr:colOff>
      <xdr:row>5</xdr:row>
      <xdr:rowOff>66223</xdr:rowOff>
    </xdr:to>
    <xdr:pic>
      <xdr:nvPicPr>
        <xdr:cNvPr id="2" name="Picture 1" descr="USAID_Horiz_Serbian_RGB_2-Colo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552450</xdr:colOff>
      <xdr:row>1</xdr:row>
      <xdr:rowOff>57150</xdr:rowOff>
    </xdr:from>
    <xdr:to>
      <xdr:col>15</xdr:col>
      <xdr:colOff>521970</xdr:colOff>
      <xdr:row>4</xdr:row>
      <xdr:rowOff>64770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67700" y="2476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28575</xdr:rowOff>
    </xdr:from>
    <xdr:to>
      <xdr:col>10</xdr:col>
      <xdr:colOff>523875</xdr:colOff>
      <xdr:row>13</xdr:row>
      <xdr:rowOff>37753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47775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238125</xdr:colOff>
      <xdr:row>0</xdr:row>
      <xdr:rowOff>142875</xdr:rowOff>
    </xdr:from>
    <xdr:to>
      <xdr:col>2</xdr:col>
      <xdr:colOff>1317625</xdr:colOff>
      <xdr:row>5</xdr:row>
      <xdr:rowOff>94798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523875</xdr:colOff>
      <xdr:row>1</xdr:row>
      <xdr:rowOff>0</xdr:rowOff>
    </xdr:from>
    <xdr:to>
      <xdr:col>8</xdr:col>
      <xdr:colOff>493395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250028</xdr:colOff>
      <xdr:row>6</xdr:row>
      <xdr:rowOff>11906</xdr:rowOff>
    </xdr:from>
    <xdr:to>
      <xdr:col>11</xdr:col>
      <xdr:colOff>688178</xdr:colOff>
      <xdr:row>7</xdr:row>
      <xdr:rowOff>140147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55903" y="11906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547688</xdr:colOff>
      <xdr:row>0</xdr:row>
      <xdr:rowOff>119062</xdr:rowOff>
    </xdr:from>
    <xdr:to>
      <xdr:col>4</xdr:col>
      <xdr:colOff>215107</xdr:colOff>
      <xdr:row>5</xdr:row>
      <xdr:rowOff>66222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8" y="119062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750094</xdr:colOff>
      <xdr:row>1</xdr:row>
      <xdr:rowOff>95250</xdr:rowOff>
    </xdr:from>
    <xdr:to>
      <xdr:col>14</xdr:col>
      <xdr:colOff>352901</xdr:colOff>
      <xdr:row>4</xdr:row>
      <xdr:rowOff>98107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60969" y="2857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250026</xdr:colOff>
      <xdr:row>6</xdr:row>
      <xdr:rowOff>23812</xdr:rowOff>
    </xdr:from>
    <xdr:to>
      <xdr:col>11</xdr:col>
      <xdr:colOff>688176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24932" y="23812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452439</xdr:colOff>
      <xdr:row>0</xdr:row>
      <xdr:rowOff>95249</xdr:rowOff>
    </xdr:from>
    <xdr:to>
      <xdr:col>4</xdr:col>
      <xdr:colOff>84139</xdr:colOff>
      <xdr:row>5</xdr:row>
      <xdr:rowOff>42409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9" y="95249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13</xdr:col>
      <xdr:colOff>309562</xdr:colOff>
      <xdr:row>1</xdr:row>
      <xdr:rowOff>35719</xdr:rowOff>
    </xdr:from>
    <xdr:to>
      <xdr:col>13</xdr:col>
      <xdr:colOff>888682</xdr:colOff>
      <xdr:row>4</xdr:row>
      <xdr:rowOff>38576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8531" y="226219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13</xdr:row>
      <xdr:rowOff>0</xdr:rowOff>
    </xdr:from>
    <xdr:to>
      <xdr:col>2</xdr:col>
      <xdr:colOff>219075</xdr:colOff>
      <xdr:row>15</xdr:row>
      <xdr:rowOff>9178</xdr:rowOff>
    </xdr:to>
    <xdr:pic>
      <xdr:nvPicPr>
        <xdr:cNvPr id="5" name="Picture 4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333500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180975</xdr:colOff>
      <xdr:row>0</xdr:row>
      <xdr:rowOff>114300</xdr:rowOff>
    </xdr:from>
    <xdr:to>
      <xdr:col>4</xdr:col>
      <xdr:colOff>41275</xdr:colOff>
      <xdr:row>5</xdr:row>
      <xdr:rowOff>66223</xdr:rowOff>
    </xdr:to>
    <xdr:pic>
      <xdr:nvPicPr>
        <xdr:cNvPr id="3" name="Picture 2" descr="USAID_Horiz_Serbian_RGB_2-Color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552450</xdr:colOff>
      <xdr:row>1</xdr:row>
      <xdr:rowOff>47625</xdr:rowOff>
    </xdr:from>
    <xdr:to>
      <xdr:col>12</xdr:col>
      <xdr:colOff>521970</xdr:colOff>
      <xdr:row>4</xdr:row>
      <xdr:rowOff>55245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58050" y="238125"/>
          <a:ext cx="579120" cy="59817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..\..\..\..\AppData\Roaming\Microsoft\Excel\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5"/>
  <sheetViews>
    <sheetView workbookViewId="0">
      <selection activeCell="N20" sqref="N20"/>
    </sheetView>
  </sheetViews>
  <sheetFormatPr defaultRowHeight="15" x14ac:dyDescent="0.25"/>
  <sheetData>
    <row r="3" spans="2:18" ht="16.5" x14ac:dyDescent="0.35">
      <c r="G3" s="62" t="s">
        <v>190</v>
      </c>
      <c r="H3" s="62"/>
      <c r="I3" s="62"/>
      <c r="J3" s="62"/>
    </row>
    <row r="8" spans="2:18" x14ac:dyDescent="0.25">
      <c r="B8" s="63" t="s">
        <v>0</v>
      </c>
      <c r="C8" s="63"/>
      <c r="D8" s="63"/>
      <c r="E8" s="63"/>
      <c r="F8" s="63"/>
      <c r="G8" s="63"/>
      <c r="H8" s="63"/>
      <c r="I8" s="63"/>
      <c r="J8" s="63"/>
      <c r="K8" s="63"/>
    </row>
    <row r="9" spans="2:18" x14ac:dyDescent="0.25">
      <c r="B9" s="63"/>
      <c r="C9" s="63"/>
      <c r="D9" s="63"/>
      <c r="E9" s="63"/>
      <c r="F9" s="63"/>
      <c r="G9" s="63"/>
      <c r="H9" s="63"/>
      <c r="I9" s="63"/>
      <c r="J9" s="63"/>
      <c r="K9" s="63"/>
    </row>
    <row r="10" spans="2:18" x14ac:dyDescent="0.25">
      <c r="B10" s="63"/>
      <c r="C10" s="63"/>
      <c r="D10" s="63"/>
      <c r="E10" s="63"/>
      <c r="F10" s="63"/>
      <c r="G10" s="63"/>
      <c r="H10" s="63"/>
      <c r="I10" s="63"/>
      <c r="J10" s="63"/>
      <c r="K10" s="63"/>
      <c r="M10" s="64" t="s">
        <v>2</v>
      </c>
      <c r="N10" s="64"/>
      <c r="O10" s="64"/>
      <c r="P10" s="64"/>
      <c r="Q10" s="64"/>
      <c r="R10" s="64"/>
    </row>
    <row r="11" spans="2:18" x14ac:dyDescent="0.25">
      <c r="B11" s="63"/>
      <c r="C11" s="63"/>
      <c r="D11" s="63"/>
      <c r="E11" s="63"/>
      <c r="F11" s="63"/>
      <c r="G11" s="63"/>
      <c r="H11" s="63"/>
      <c r="I11" s="63"/>
      <c r="J11" s="63"/>
      <c r="K11" s="63"/>
      <c r="M11" s="64"/>
      <c r="N11" s="64"/>
      <c r="O11" s="64"/>
      <c r="P11" s="64"/>
      <c r="Q11" s="64"/>
      <c r="R11" s="64"/>
    </row>
    <row r="12" spans="2:18" x14ac:dyDescent="0.25">
      <c r="B12" s="63"/>
      <c r="C12" s="63"/>
      <c r="D12" s="63"/>
      <c r="E12" s="63"/>
      <c r="F12" s="63"/>
      <c r="G12" s="63"/>
      <c r="H12" s="63"/>
      <c r="I12" s="63"/>
      <c r="J12" s="63"/>
      <c r="K12" s="63"/>
    </row>
    <row r="13" spans="2:18" x14ac:dyDescent="0.25">
      <c r="B13" s="63"/>
      <c r="C13" s="63"/>
      <c r="D13" s="63"/>
      <c r="E13" s="63"/>
      <c r="F13" s="63"/>
      <c r="G13" s="63"/>
      <c r="H13" s="63"/>
      <c r="I13" s="63"/>
      <c r="J13" s="63"/>
      <c r="K13" s="63"/>
      <c r="M13" s="65" t="s">
        <v>48</v>
      </c>
      <c r="N13" s="65"/>
      <c r="O13" s="65"/>
      <c r="P13" s="65"/>
      <c r="Q13" s="65"/>
      <c r="R13" s="65"/>
    </row>
    <row r="14" spans="2:18" x14ac:dyDescent="0.25">
      <c r="B14" s="63"/>
      <c r="C14" s="63"/>
      <c r="D14" s="63"/>
      <c r="E14" s="63"/>
      <c r="F14" s="63"/>
      <c r="G14" s="63"/>
      <c r="H14" s="63"/>
      <c r="I14" s="63"/>
      <c r="J14" s="63"/>
      <c r="K14" s="63"/>
    </row>
    <row r="15" spans="2:18" x14ac:dyDescent="0.25">
      <c r="B15" s="63"/>
      <c r="C15" s="63"/>
      <c r="D15" s="63"/>
      <c r="E15" s="63"/>
      <c r="F15" s="63"/>
      <c r="G15" s="63"/>
      <c r="H15" s="63"/>
      <c r="I15" s="63"/>
      <c r="J15" s="63"/>
      <c r="K15" s="63"/>
      <c r="M15" s="66" t="s">
        <v>129</v>
      </c>
      <c r="N15" s="66"/>
      <c r="O15" s="67"/>
      <c r="P15" s="67"/>
      <c r="Q15" s="68" t="s">
        <v>130</v>
      </c>
      <c r="R15" s="68"/>
    </row>
    <row r="16" spans="2:18" x14ac:dyDescent="0.25">
      <c r="B16" s="63"/>
      <c r="C16" s="63"/>
      <c r="D16" s="63"/>
      <c r="E16" s="63"/>
      <c r="F16" s="63"/>
      <c r="G16" s="63"/>
      <c r="H16" s="63"/>
      <c r="I16" s="63"/>
      <c r="J16" s="63"/>
      <c r="K16" s="63"/>
      <c r="M16" s="66"/>
      <c r="N16" s="66"/>
      <c r="O16" s="67"/>
      <c r="P16" s="67"/>
      <c r="Q16" s="68"/>
      <c r="R16" s="68"/>
    </row>
    <row r="17" spans="2:14" x14ac:dyDescent="0.25">
      <c r="B17" s="63"/>
      <c r="C17" s="63"/>
      <c r="D17" s="63"/>
      <c r="E17" s="63"/>
      <c r="F17" s="63"/>
      <c r="G17" s="63"/>
      <c r="H17" s="63"/>
      <c r="I17" s="63"/>
      <c r="J17" s="63"/>
      <c r="K17" s="63"/>
    </row>
    <row r="18" spans="2:14" x14ac:dyDescent="0.25">
      <c r="B18" s="63"/>
      <c r="C18" s="63"/>
      <c r="D18" s="63"/>
      <c r="E18" s="63"/>
      <c r="F18" s="63"/>
      <c r="G18" s="63"/>
      <c r="H18" s="63"/>
      <c r="I18" s="63"/>
      <c r="J18" s="63"/>
      <c r="K18" s="63"/>
    </row>
    <row r="19" spans="2:14" x14ac:dyDescent="0.25">
      <c r="B19" s="63"/>
      <c r="C19" s="63"/>
      <c r="D19" s="63"/>
      <c r="E19" s="63"/>
      <c r="F19" s="63"/>
      <c r="G19" s="63"/>
      <c r="H19" s="63"/>
      <c r="I19" s="63"/>
      <c r="J19" s="63"/>
      <c r="K19" s="63"/>
    </row>
    <row r="20" spans="2:14" x14ac:dyDescent="0.25">
      <c r="B20" s="63"/>
      <c r="C20" s="63"/>
      <c r="D20" s="63"/>
      <c r="E20" s="63"/>
      <c r="F20" s="63"/>
      <c r="G20" s="63"/>
      <c r="H20" s="63"/>
      <c r="I20" s="63"/>
      <c r="J20" s="63"/>
      <c r="K20" s="63"/>
    </row>
    <row r="21" spans="2:14" x14ac:dyDescent="0.25">
      <c r="B21" s="63"/>
      <c r="C21" s="63"/>
      <c r="D21" s="63"/>
      <c r="E21" s="63"/>
      <c r="F21" s="63"/>
      <c r="G21" s="63"/>
      <c r="H21" s="63"/>
      <c r="I21" s="63"/>
      <c r="J21" s="63"/>
      <c r="K21" s="63"/>
    </row>
    <row r="22" spans="2:14" x14ac:dyDescent="0.25">
      <c r="B22" s="63"/>
      <c r="C22" s="63"/>
      <c r="D22" s="63"/>
      <c r="E22" s="63"/>
      <c r="F22" s="63"/>
      <c r="G22" s="63"/>
      <c r="H22" s="63"/>
      <c r="I22" s="63"/>
      <c r="J22" s="63"/>
      <c r="K22" s="63"/>
    </row>
    <row r="23" spans="2:14" x14ac:dyDescent="0.25">
      <c r="B23" s="63"/>
      <c r="C23" s="63"/>
      <c r="D23" s="63"/>
      <c r="E23" s="63"/>
      <c r="F23" s="63"/>
      <c r="G23" s="63"/>
      <c r="H23" s="63"/>
      <c r="I23" s="63"/>
      <c r="J23" s="63"/>
      <c r="K23" s="63"/>
    </row>
    <row r="24" spans="2:14" x14ac:dyDescent="0.25">
      <c r="B24" s="63"/>
      <c r="C24" s="63"/>
      <c r="D24" s="63"/>
      <c r="E24" s="63"/>
      <c r="F24" s="63"/>
      <c r="G24" s="63"/>
      <c r="H24" s="63"/>
      <c r="I24" s="63"/>
      <c r="J24" s="63"/>
      <c r="K24" s="63"/>
    </row>
    <row r="25" spans="2:14" x14ac:dyDescent="0.25">
      <c r="B25" s="63"/>
      <c r="C25" s="63"/>
      <c r="D25" s="63"/>
      <c r="E25" s="63"/>
      <c r="F25" s="63"/>
      <c r="G25" s="63"/>
      <c r="H25" s="63"/>
      <c r="I25" s="63"/>
      <c r="J25" s="63"/>
      <c r="K25" s="63"/>
      <c r="M25" s="27"/>
      <c r="N25" s="27"/>
    </row>
  </sheetData>
  <sheetProtection selectLockedCells="1"/>
  <mergeCells count="7">
    <mergeCell ref="G3:J3"/>
    <mergeCell ref="B8:K25"/>
    <mergeCell ref="M10:R11"/>
    <mergeCell ref="M13:R13"/>
    <mergeCell ref="M15:N16"/>
    <mergeCell ref="O15:P16"/>
    <mergeCell ref="Q15:R16"/>
  </mergeCells>
  <hyperlinks>
    <hyperlink ref="M15:N16" r:id="rId1" display="NAZAD"/>
    <hyperlink ref="Q15:R16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PomTab1!$C$7:$C$23</xm:f>
          </x14:formula1>
          <xm:sqref>M13:R13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3:J12"/>
  <sheetViews>
    <sheetView workbookViewId="0"/>
  </sheetViews>
  <sheetFormatPr defaultRowHeight="15" x14ac:dyDescent="0.25"/>
  <sheetData>
    <row r="3" spans="1:10" ht="16.5" x14ac:dyDescent="0.35">
      <c r="G3" s="62" t="s">
        <v>190</v>
      </c>
      <c r="H3" s="62"/>
      <c r="I3" s="62"/>
      <c r="J3" s="62"/>
    </row>
    <row r="7" spans="1:10" ht="15" customHeight="1" x14ac:dyDescent="0.25">
      <c r="A7" s="64" t="s">
        <v>121</v>
      </c>
      <c r="B7" s="64"/>
      <c r="C7" s="64"/>
      <c r="D7" s="64"/>
    </row>
    <row r="8" spans="1:10" ht="15" customHeight="1" x14ac:dyDescent="0.25">
      <c r="A8" s="64"/>
      <c r="B8" s="64"/>
      <c r="C8" s="64"/>
      <c r="D8" s="64"/>
    </row>
    <row r="9" spans="1:10" x14ac:dyDescent="0.25">
      <c r="A9" s="64"/>
      <c r="B9" s="64"/>
      <c r="C9" s="64"/>
      <c r="D9" s="64"/>
    </row>
    <row r="11" spans="1:10" x14ac:dyDescent="0.25">
      <c r="A11" s="66" t="s">
        <v>129</v>
      </c>
      <c r="B11" s="66"/>
      <c r="C11" s="68" t="s">
        <v>130</v>
      </c>
      <c r="D11" s="68"/>
    </row>
    <row r="12" spans="1:10" x14ac:dyDescent="0.25">
      <c r="A12" s="66"/>
      <c r="B12" s="66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GraphFina!A5" display="NAZAD"/>
    <hyperlink ref="C11:D12" location="LCoEE!A1" display="DALJE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4:AB29"/>
  <sheetViews>
    <sheetView workbookViewId="0">
      <selection activeCell="F13" sqref="F13"/>
    </sheetView>
  </sheetViews>
  <sheetFormatPr defaultRowHeight="15" x14ac:dyDescent="0.25"/>
  <cols>
    <col min="5" max="5" width="11.7109375" bestFit="1" customWidth="1"/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4" spans="1:28" ht="16.5" x14ac:dyDescent="0.35">
      <c r="G4" s="62" t="s">
        <v>190</v>
      </c>
      <c r="H4" s="62"/>
      <c r="I4" s="62"/>
      <c r="J4" s="62"/>
    </row>
    <row r="7" spans="1:28" x14ac:dyDescent="0.25">
      <c r="A7" s="82" t="s">
        <v>122</v>
      </c>
      <c r="B7" s="82"/>
      <c r="C7" s="82"/>
      <c r="D7" s="82"/>
      <c r="I7" s="66" t="s">
        <v>129</v>
      </c>
      <c r="J7" s="66"/>
      <c r="N7" s="68" t="s">
        <v>130</v>
      </c>
      <c r="O7" s="68"/>
    </row>
    <row r="8" spans="1:28" x14ac:dyDescent="0.25">
      <c r="A8" s="82"/>
      <c r="B8" s="82"/>
      <c r="C8" s="82"/>
      <c r="D8" s="82"/>
      <c r="I8" s="66"/>
      <c r="J8" s="66"/>
      <c r="N8" s="68"/>
      <c r="O8" s="68"/>
    </row>
    <row r="10" spans="1:28" x14ac:dyDescent="0.25">
      <c r="A10" s="72" t="s">
        <v>123</v>
      </c>
      <c r="B10" s="72"/>
      <c r="C10" s="72"/>
      <c r="D10" s="72"/>
      <c r="E10" s="17">
        <v>0</v>
      </c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  <c r="Z10" s="18"/>
      <c r="AA10" s="18"/>
      <c r="AB10" s="18"/>
    </row>
    <row r="12" spans="1:28" x14ac:dyDescent="0.25">
      <c r="A12" s="73" t="s">
        <v>124</v>
      </c>
      <c r="B12" s="73"/>
      <c r="C12" s="73"/>
      <c r="D12" s="73"/>
      <c r="F12" s="3">
        <f>Investment</f>
        <v>3235000</v>
      </c>
    </row>
    <row r="13" spans="1:28" x14ac:dyDescent="0.25">
      <c r="A13" s="73" t="s">
        <v>125</v>
      </c>
      <c r="B13" s="73"/>
      <c r="C13" s="73"/>
      <c r="D13" s="73"/>
      <c r="F13" s="3">
        <f>IF(F10&lt;&gt;"",-(FinaIndicators!F30+FinaIndicators!F35),"")</f>
        <v>1265975.3497879924</v>
      </c>
      <c r="G13" s="3">
        <f>IF(G10&lt;&gt;"",-(FinaIndicators!G30+FinaIndicators!G35),"")</f>
        <v>1265214.8825940187</v>
      </c>
      <c r="H13" s="3">
        <f>IF(H10&lt;&gt;"",-(FinaIndicators!H30+FinaIndicators!H35),"")</f>
        <v>1264363.1593367679</v>
      </c>
      <c r="I13" s="3">
        <f>IF(I10&lt;&gt;"",-(FinaIndicators!I30+FinaIndicators!I35),"")</f>
        <v>1263409.229288647</v>
      </c>
      <c r="J13" s="3">
        <f>IF(J10&lt;&gt;"",-(FinaIndicators!J30+FinaIndicators!J35),"")</f>
        <v>1262340.8276347516</v>
      </c>
      <c r="K13" s="3">
        <f>IF(K10&lt;&gt;"",-(FinaIndicators!K30+FinaIndicators!K35),"")</f>
        <v>1261144.2177823887</v>
      </c>
      <c r="L13" s="3">
        <f>IF(L10&lt;&gt;"",-(FinaIndicators!L30+FinaIndicators!L35),"")</f>
        <v>1259804.0147477423</v>
      </c>
      <c r="M13" s="3">
        <f>IF(M10&lt;&gt;"",-(FinaIndicators!M30+FinaIndicators!M35),"")</f>
        <v>1258302.9873489384</v>
      </c>
      <c r="N13" s="3">
        <f>IF(N10&lt;&gt;"",-(FinaIndicators!N30+FinaIndicators!N35),"")</f>
        <v>1256621.836662278</v>
      </c>
      <c r="O13" s="3">
        <f>IF(O10&lt;&gt;"",-(FinaIndicators!O30+FinaIndicators!O35),"")</f>
        <v>1254738.9478932184</v>
      </c>
      <c r="P13" s="3">
        <f>IF(P10&lt;&gt;"",-(FinaIndicators!P30+FinaIndicators!P35),"")</f>
        <v>1252630.1124718715</v>
      </c>
      <c r="Q13" s="3">
        <f>IF(Q10&lt;&gt;"",-(FinaIndicators!Q30+FinaIndicators!Q35),"")</f>
        <v>1250268.216799963</v>
      </c>
      <c r="R13" s="3">
        <f>IF(R10&lt;&gt;"",-(FinaIndicators!R30+FinaIndicators!R35),"")</f>
        <v>1247622.8936474256</v>
      </c>
      <c r="S13" s="3">
        <f>IF(S10&lt;&gt;"",-(FinaIndicators!S30+FinaIndicators!S35),"")</f>
        <v>1244660.1317165836</v>
      </c>
      <c r="T13" s="3">
        <f>IF(T10&lt;&gt;"",-(FinaIndicators!T30+FinaIndicators!T35),"")</f>
        <v>1241341.8383540406</v>
      </c>
      <c r="U13" s="3">
        <f>IF(U10&lt;&gt;"",-(FinaIndicators!U30+FinaIndicators!U35),"")</f>
        <v>1006377.1723449969</v>
      </c>
      <c r="V13" s="3">
        <f>IF(V10&lt;&gt;"",-(FinaIndicators!V30+FinaIndicators!V35),"")</f>
        <v>1006377.1723449969</v>
      </c>
      <c r="W13" s="3">
        <f>IF(W10&lt;&gt;"",-(FinaIndicators!W30+FinaIndicators!W35),"")</f>
        <v>1006377.1723449969</v>
      </c>
      <c r="X13" s="3">
        <f>IF(X10&lt;&gt;"",-(FinaIndicators!X30+FinaIndicators!X35),"")</f>
        <v>1006377.1723449969</v>
      </c>
      <c r="Y13" s="3">
        <f>IF(Y10&lt;&gt;"",-(FinaIndicators!Y30+FinaIndicators!Y35),"")</f>
        <v>1006377.1723449969</v>
      </c>
    </row>
    <row r="14" spans="1:28" x14ac:dyDescent="0.25">
      <c r="A14" s="73" t="s">
        <v>126</v>
      </c>
      <c r="B14" s="73"/>
      <c r="C14" s="73"/>
      <c r="D14" s="73"/>
      <c r="E14" s="3"/>
      <c r="F14" s="3">
        <f t="shared" ref="F14:Y14" si="0">IF(F10&lt;&gt;"",F12+F13,"")</f>
        <v>4500975.3497879924</v>
      </c>
      <c r="G14" s="3">
        <f t="shared" si="0"/>
        <v>1265214.8825940187</v>
      </c>
      <c r="H14" s="3">
        <f t="shared" si="0"/>
        <v>1264363.1593367679</v>
      </c>
      <c r="I14" s="3">
        <f t="shared" si="0"/>
        <v>1263409.229288647</v>
      </c>
      <c r="J14" s="3">
        <f t="shared" si="0"/>
        <v>1262340.8276347516</v>
      </c>
      <c r="K14" s="3">
        <f t="shared" si="0"/>
        <v>1261144.2177823887</v>
      </c>
      <c r="L14" s="3">
        <f t="shared" si="0"/>
        <v>1259804.0147477423</v>
      </c>
      <c r="M14" s="3">
        <f t="shared" si="0"/>
        <v>1258302.9873489384</v>
      </c>
      <c r="N14" s="3">
        <f t="shared" si="0"/>
        <v>1256621.836662278</v>
      </c>
      <c r="O14" s="3">
        <f t="shared" si="0"/>
        <v>1254738.9478932184</v>
      </c>
      <c r="P14" s="3">
        <f t="shared" si="0"/>
        <v>1252630.1124718715</v>
      </c>
      <c r="Q14" s="3">
        <f t="shared" si="0"/>
        <v>1250268.216799963</v>
      </c>
      <c r="R14" s="3">
        <f t="shared" si="0"/>
        <v>1247622.8936474256</v>
      </c>
      <c r="S14" s="3">
        <f t="shared" si="0"/>
        <v>1244660.1317165836</v>
      </c>
      <c r="T14" s="3">
        <f t="shared" si="0"/>
        <v>1241341.8383540406</v>
      </c>
      <c r="U14" s="3">
        <f t="shared" si="0"/>
        <v>1006377.1723449969</v>
      </c>
      <c r="V14" s="3">
        <f t="shared" si="0"/>
        <v>1006377.1723449969</v>
      </c>
      <c r="W14" s="3">
        <f t="shared" si="0"/>
        <v>1006377.1723449969</v>
      </c>
      <c r="X14" s="3">
        <f t="shared" si="0"/>
        <v>1006377.1723449969</v>
      </c>
      <c r="Y14" s="3">
        <f t="shared" si="0"/>
        <v>1006377.1723449969</v>
      </c>
    </row>
    <row r="15" spans="1:28" x14ac:dyDescent="0.25">
      <c r="A15" s="22"/>
      <c r="B15" s="22"/>
      <c r="C15" s="22"/>
      <c r="D15" s="22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8" x14ac:dyDescent="0.25">
      <c r="A16" s="22" t="s">
        <v>177</v>
      </c>
      <c r="B16" s="22"/>
      <c r="C16" s="22"/>
      <c r="D16" s="22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73" t="s">
        <v>124</v>
      </c>
      <c r="B17" s="73"/>
      <c r="C17" s="73"/>
      <c r="D17" s="73"/>
      <c r="F17" s="3">
        <f>Investment</f>
        <v>3235000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3" t="s">
        <v>125</v>
      </c>
      <c r="B18" s="73"/>
      <c r="C18" s="73"/>
      <c r="D18" s="73"/>
      <c r="F18" s="3">
        <f>IF(F10&lt;&gt;"",-(FinaIndicators!F30+FinaIndicators!F35+IF('FinInd+CO2'!F20&lt;0,+'FinInd+CO2'!F20,0)),"")</f>
        <v>1285800.3035944439</v>
      </c>
      <c r="G18" s="3">
        <f>IF(G10&lt;&gt;"",-(FinaIndicators!G30+FinaIndicators!G35+IF('FinInd+CO2'!G20&lt;0,+'FinInd+CO2'!G20,0)),"")</f>
        <v>1285039.8364004702</v>
      </c>
      <c r="H18" s="3">
        <f>IF(H10&lt;&gt;"",-(FinaIndicators!H30+FinaIndicators!H35+IF('FinInd+CO2'!H20&lt;0,+'FinInd+CO2'!H20,0)),"")</f>
        <v>1284188.1131432194</v>
      </c>
      <c r="I18" s="3">
        <f>IF(I10&lt;&gt;"",-(FinaIndicators!I30+FinaIndicators!I35+IF('FinInd+CO2'!I20&lt;0,+'FinInd+CO2'!I20,0)),"")</f>
        <v>1283234.1830950985</v>
      </c>
      <c r="J18" s="3">
        <f>IF(J10&lt;&gt;"",-(FinaIndicators!J30+FinaIndicators!J35+IF('FinInd+CO2'!J20&lt;0,+'FinInd+CO2'!J20,0)),"")</f>
        <v>1282165.7814412031</v>
      </c>
      <c r="K18" s="3">
        <f>IF(K10&lt;&gt;"",-(FinaIndicators!K30+FinaIndicators!K35+IF('FinInd+CO2'!K20&lt;0,+'FinInd+CO2'!K20,0)),"")</f>
        <v>1280969.1715888402</v>
      </c>
      <c r="L18" s="3">
        <f>IF(L10&lt;&gt;"",-(FinaIndicators!L30+FinaIndicators!L35+IF('FinInd+CO2'!L20&lt;0,+'FinInd+CO2'!L20,0)),"")</f>
        <v>1279628.9685541939</v>
      </c>
      <c r="M18" s="3">
        <f>IF(M10&lt;&gt;"",-(FinaIndicators!M30+FinaIndicators!M35+IF('FinInd+CO2'!M20&lt;0,+'FinInd+CO2'!M20,0)),"")</f>
        <v>1278127.9411553899</v>
      </c>
      <c r="N18" s="3">
        <f>IF(N10&lt;&gt;"",-(FinaIndicators!N30+FinaIndicators!N35+IF('FinInd+CO2'!N20&lt;0,+'FinInd+CO2'!N20,0)),"")</f>
        <v>1276446.7904687296</v>
      </c>
      <c r="O18" s="3">
        <f>IF(O10&lt;&gt;"",-(FinaIndicators!O30+FinaIndicators!O35+IF('FinInd+CO2'!O20&lt;0,+'FinInd+CO2'!O20,0)),"")</f>
        <v>1274563.9016996699</v>
      </c>
      <c r="P18" s="3">
        <f>IF(P10&lt;&gt;"",-(FinaIndicators!P30+FinaIndicators!P35+IF('FinInd+CO2'!P20&lt;0,+'FinInd+CO2'!P20,0)),"")</f>
        <v>1272455.0662783231</v>
      </c>
      <c r="Q18" s="3">
        <f>IF(Q10&lt;&gt;"",-(FinaIndicators!Q30+FinaIndicators!Q35+IF('FinInd+CO2'!Q20&lt;0,+'FinInd+CO2'!Q20,0)),"")</f>
        <v>1270093.1706064146</v>
      </c>
      <c r="R18" s="3">
        <f>IF(R10&lt;&gt;"",-(FinaIndicators!R30+FinaIndicators!R35+IF('FinInd+CO2'!R20&lt;0,+'FinInd+CO2'!R20,0)),"")</f>
        <v>1267447.8474538771</v>
      </c>
      <c r="S18" s="3">
        <f>IF(S10&lt;&gt;"",-(FinaIndicators!S30+FinaIndicators!S35+IF('FinInd+CO2'!S20&lt;0,+'FinInd+CO2'!S20,0)),"")</f>
        <v>1264485.0855230351</v>
      </c>
      <c r="T18" s="3">
        <f>IF(T10&lt;&gt;"",-(FinaIndicators!T30+FinaIndicators!T35+IF('FinInd+CO2'!T20&lt;0,+'FinInd+CO2'!T20,0)),"")</f>
        <v>1261166.7921604922</v>
      </c>
      <c r="U18" s="3">
        <f>IF(U10&lt;&gt;"",-(FinaIndicators!U30+FinaIndicators!U35+IF('FinInd+CO2'!U20&lt;0,+'FinInd+CO2'!U20,0)),"")</f>
        <v>1026202.1261514485</v>
      </c>
      <c r="V18" s="3">
        <f>IF(V10&lt;&gt;"",-(FinaIndicators!V30+FinaIndicators!V35+IF('FinInd+CO2'!V20&lt;0,+'FinInd+CO2'!V20,0)),"")</f>
        <v>1026202.1261514485</v>
      </c>
      <c r="W18" s="3">
        <f>IF(W10&lt;&gt;"",-(FinaIndicators!W30+FinaIndicators!W35+IF('FinInd+CO2'!W20&lt;0,+'FinInd+CO2'!W20,0)),"")</f>
        <v>1026202.1261514485</v>
      </c>
      <c r="X18" s="3">
        <f>IF(X10&lt;&gt;"",-(FinaIndicators!X30+FinaIndicators!X35+IF('FinInd+CO2'!X20&lt;0,+'FinInd+CO2'!X20,0)),"")</f>
        <v>1026202.1261514485</v>
      </c>
      <c r="Y18" s="3">
        <f>IF(Y10&lt;&gt;"",-(FinaIndicators!Y30+FinaIndicators!Y35+IF('FinInd+CO2'!Y20&lt;0,+'FinInd+CO2'!Y20,0)),"")</f>
        <v>1026202.1261514485</v>
      </c>
    </row>
    <row r="19" spans="1:25" x14ac:dyDescent="0.25">
      <c r="A19" s="73" t="s">
        <v>126</v>
      </c>
      <c r="B19" s="73"/>
      <c r="C19" s="73"/>
      <c r="D19" s="73"/>
      <c r="E19" s="3"/>
      <c r="F19" s="3">
        <f t="shared" ref="F19:Y19" si="1">+F18+F17</f>
        <v>4520800.3035944439</v>
      </c>
      <c r="G19" s="3">
        <f t="shared" si="1"/>
        <v>1285039.8364004702</v>
      </c>
      <c r="H19" s="3">
        <f t="shared" si="1"/>
        <v>1284188.1131432194</v>
      </c>
      <c r="I19" s="3">
        <f t="shared" si="1"/>
        <v>1283234.1830950985</v>
      </c>
      <c r="J19" s="3">
        <f t="shared" si="1"/>
        <v>1282165.7814412031</v>
      </c>
      <c r="K19" s="3">
        <f t="shared" si="1"/>
        <v>1280969.1715888402</v>
      </c>
      <c r="L19" s="3">
        <f t="shared" si="1"/>
        <v>1279628.9685541939</v>
      </c>
      <c r="M19" s="3">
        <f t="shared" si="1"/>
        <v>1278127.9411553899</v>
      </c>
      <c r="N19" s="3">
        <f t="shared" si="1"/>
        <v>1276446.7904687296</v>
      </c>
      <c r="O19" s="3">
        <f t="shared" si="1"/>
        <v>1274563.9016996699</v>
      </c>
      <c r="P19" s="3">
        <f t="shared" si="1"/>
        <v>1272455.0662783231</v>
      </c>
      <c r="Q19" s="3">
        <f t="shared" si="1"/>
        <v>1270093.1706064146</v>
      </c>
      <c r="R19" s="3">
        <f t="shared" si="1"/>
        <v>1267447.8474538771</v>
      </c>
      <c r="S19" s="3">
        <f t="shared" si="1"/>
        <v>1264485.0855230351</v>
      </c>
      <c r="T19" s="3">
        <f t="shared" si="1"/>
        <v>1261166.7921604922</v>
      </c>
      <c r="U19" s="3">
        <f t="shared" si="1"/>
        <v>1026202.1261514485</v>
      </c>
      <c r="V19" s="3">
        <f t="shared" si="1"/>
        <v>1026202.1261514485</v>
      </c>
      <c r="W19" s="3">
        <f t="shared" si="1"/>
        <v>1026202.1261514485</v>
      </c>
      <c r="X19" s="3">
        <f t="shared" si="1"/>
        <v>1026202.1261514485</v>
      </c>
      <c r="Y19" s="3">
        <f t="shared" si="1"/>
        <v>1026202.1261514485</v>
      </c>
    </row>
    <row r="20" spans="1:25" x14ac:dyDescent="0.25">
      <c r="A20" s="67"/>
      <c r="B20" s="67"/>
      <c r="C20" s="67"/>
      <c r="D20" s="67"/>
    </row>
    <row r="21" spans="1:25" x14ac:dyDescent="0.25">
      <c r="A21" s="73" t="s">
        <v>105</v>
      </c>
      <c r="B21" s="73"/>
      <c r="C21" s="73"/>
      <c r="D21" s="73"/>
      <c r="F21" s="3">
        <f>IF(F10&lt;&gt;"",FinaIndicators!F14,"")</f>
        <v>21600</v>
      </c>
      <c r="G21" s="3">
        <f>IF(G10&lt;&gt;"",FinaIndicators!G14,"")</f>
        <v>21600</v>
      </c>
      <c r="H21" s="3">
        <f>IF(H10&lt;&gt;"",FinaIndicators!H14,"")</f>
        <v>21600</v>
      </c>
      <c r="I21" s="3">
        <f>IF(I10&lt;&gt;"",FinaIndicators!I14,"")</f>
        <v>21600</v>
      </c>
      <c r="J21" s="3">
        <f>IF(J10&lt;&gt;"",FinaIndicators!J14,"")</f>
        <v>21600</v>
      </c>
      <c r="K21" s="3">
        <f>IF(K10&lt;&gt;"",FinaIndicators!K14,"")</f>
        <v>21600</v>
      </c>
      <c r="L21" s="3">
        <f>IF(L10&lt;&gt;"",FinaIndicators!L14,"")</f>
        <v>21600</v>
      </c>
      <c r="M21" s="3">
        <f>IF(M10&lt;&gt;"",FinaIndicators!M14,"")</f>
        <v>21600</v>
      </c>
      <c r="N21" s="3">
        <f>IF(N10&lt;&gt;"",FinaIndicators!N14,"")</f>
        <v>21600</v>
      </c>
      <c r="O21" s="3">
        <f>IF(O10&lt;&gt;"",FinaIndicators!O14,"")</f>
        <v>21600</v>
      </c>
      <c r="P21" s="3">
        <f>IF(P10&lt;&gt;"",FinaIndicators!P14,"")</f>
        <v>21600</v>
      </c>
      <c r="Q21" s="3">
        <f>IF(Q10&lt;&gt;"",FinaIndicators!Q14,"")</f>
        <v>21600</v>
      </c>
      <c r="R21" s="3">
        <f>IF(R10&lt;&gt;"",FinaIndicators!R14,"")</f>
        <v>21600</v>
      </c>
      <c r="S21" s="3">
        <f>IF(S10&lt;&gt;"",FinaIndicators!S14,"")</f>
        <v>21600</v>
      </c>
      <c r="T21" s="3">
        <f>IF(T10&lt;&gt;"",FinaIndicators!T14,"")</f>
        <v>21600</v>
      </c>
      <c r="U21" s="3">
        <f>IF(U10&lt;&gt;"",FinaIndicators!U14,"")</f>
        <v>21600</v>
      </c>
      <c r="V21" s="3">
        <f>IF(V10&lt;&gt;"",FinaIndicators!V14,"")</f>
        <v>21600</v>
      </c>
      <c r="W21" s="3">
        <f>IF(W10&lt;&gt;"",FinaIndicators!W14,"")</f>
        <v>21600</v>
      </c>
      <c r="X21" s="3">
        <f>IF(X10&lt;&gt;"",FinaIndicators!X14,"")</f>
        <v>21600</v>
      </c>
      <c r="Y21" s="3">
        <f>IF(Y10&lt;&gt;"",FinaIndicators!Y14,"")</f>
        <v>21600</v>
      </c>
    </row>
    <row r="22" spans="1:25" ht="18" x14ac:dyDescent="0.35">
      <c r="A22" s="73" t="s">
        <v>168</v>
      </c>
      <c r="B22" s="73"/>
      <c r="C22" s="73"/>
      <c r="D22" s="73"/>
      <c r="F22" s="3">
        <f>IF(F10&lt;&gt;"",'FinInd+CO2'!F16,"")</f>
        <v>-203.45806451612862</v>
      </c>
      <c r="G22" s="3">
        <f>IF(G10&lt;&gt;"",'FinInd+CO2'!G16,"")</f>
        <v>-203.45806451612862</v>
      </c>
      <c r="H22" s="3">
        <f>IF(H10&lt;&gt;"",'FinInd+CO2'!H16,"")</f>
        <v>-203.45806451612862</v>
      </c>
      <c r="I22" s="3">
        <f>IF(I10&lt;&gt;"",'FinInd+CO2'!I16,"")</f>
        <v>-203.45806451612862</v>
      </c>
      <c r="J22" s="3">
        <f>IF(J10&lt;&gt;"",'FinInd+CO2'!J16,"")</f>
        <v>-203.45806451612862</v>
      </c>
      <c r="K22" s="3">
        <f>IF(K10&lt;&gt;"",'FinInd+CO2'!K16,"")</f>
        <v>-203.45806451612862</v>
      </c>
      <c r="L22" s="3">
        <f>IF(L10&lt;&gt;"",'FinInd+CO2'!L16,"")</f>
        <v>-203.45806451612862</v>
      </c>
      <c r="M22" s="3">
        <f>IF(M10&lt;&gt;"",'FinInd+CO2'!M16,"")</f>
        <v>-203.45806451612862</v>
      </c>
      <c r="N22" s="3">
        <f>IF(N10&lt;&gt;"",'FinInd+CO2'!N16,"")</f>
        <v>-203.45806451612862</v>
      </c>
      <c r="O22" s="3">
        <f>IF(O10&lt;&gt;"",'FinInd+CO2'!O16,"")</f>
        <v>-203.45806451612862</v>
      </c>
      <c r="P22" s="3">
        <f>IF(P10&lt;&gt;"",'FinInd+CO2'!P16,"")</f>
        <v>-203.45806451612862</v>
      </c>
      <c r="Q22" s="3">
        <f>IF(Q10&lt;&gt;"",'FinInd+CO2'!Q16,"")</f>
        <v>-203.45806451612862</v>
      </c>
      <c r="R22" s="3">
        <f>IF(R10&lt;&gt;"",'FinInd+CO2'!R16,"")</f>
        <v>-203.45806451612862</v>
      </c>
      <c r="S22" s="3">
        <f>IF(S10&lt;&gt;"",'FinInd+CO2'!S16,"")</f>
        <v>-203.45806451612862</v>
      </c>
      <c r="T22" s="3">
        <f>IF(T10&lt;&gt;"",'FinInd+CO2'!T16,"")</f>
        <v>-203.45806451612862</v>
      </c>
      <c r="U22" s="3">
        <f>IF(U10&lt;&gt;"",'FinInd+CO2'!U16,"")</f>
        <v>-203.45806451612862</v>
      </c>
      <c r="V22" s="3">
        <f>IF(V10&lt;&gt;"",'FinInd+CO2'!V16,"")</f>
        <v>-203.45806451612862</v>
      </c>
      <c r="W22" s="3">
        <f>IF(W10&lt;&gt;"",'FinInd+CO2'!W16,"")</f>
        <v>-203.45806451612862</v>
      </c>
      <c r="X22" s="3">
        <f>IF(X10&lt;&gt;"",'FinInd+CO2'!X16,"")</f>
        <v>-203.45806451612862</v>
      </c>
      <c r="Y22" s="3">
        <f>IF(Y10&lt;&gt;"",'FinInd+CO2'!Y16,"")</f>
        <v>-203.45806451612862</v>
      </c>
    </row>
    <row r="24" spans="1:25" x14ac:dyDescent="0.25">
      <c r="A24" s="72" t="s">
        <v>27</v>
      </c>
      <c r="B24" s="72"/>
      <c r="C24" s="72"/>
      <c r="D24" s="72"/>
      <c r="E24" s="3">
        <f>NPV(FDS,LCoEE!F14:Y14)/NPV(FDS,LCoEE!F21:Y21)</f>
        <v>68.811430229998408</v>
      </c>
    </row>
    <row r="25" spans="1:25" ht="18" x14ac:dyDescent="0.35">
      <c r="A25" s="72" t="s">
        <v>28</v>
      </c>
      <c r="B25" s="72"/>
      <c r="C25" s="72"/>
      <c r="D25" s="72"/>
      <c r="E25" s="3" t="str">
        <f>IF(F22&lt;0,"-",NPV(FDS,LCoEE!F19:X19)/NPV(FDS,LCoEE!F22:Y22))</f>
        <v>-</v>
      </c>
    </row>
    <row r="26" spans="1:25" x14ac:dyDescent="0.25">
      <c r="E26" s="6"/>
    </row>
    <row r="27" spans="1:25" x14ac:dyDescent="0.25">
      <c r="A27" s="22" t="s">
        <v>178</v>
      </c>
      <c r="E27" s="3">
        <f>+FinaIndicators!F59</f>
        <v>46.669482166537065</v>
      </c>
    </row>
    <row r="28" spans="1:25" x14ac:dyDescent="0.25">
      <c r="A28" s="22" t="s">
        <v>179</v>
      </c>
      <c r="E28" s="8">
        <f>+'FinInd+CO2'!F59</f>
        <v>61.045973893474446</v>
      </c>
    </row>
    <row r="29" spans="1:25" x14ac:dyDescent="0.25">
      <c r="A29" t="s">
        <v>180</v>
      </c>
      <c r="E29" s="8">
        <f>-'FinInd+CO2'!F20/HEAT</f>
        <v>0.91782193548386914</v>
      </c>
    </row>
  </sheetData>
  <sheetProtection selectLockedCells="1"/>
  <mergeCells count="16">
    <mergeCell ref="A25:D25"/>
    <mergeCell ref="A7:D8"/>
    <mergeCell ref="A10:D10"/>
    <mergeCell ref="A12:D12"/>
    <mergeCell ref="A13:D13"/>
    <mergeCell ref="A14:D14"/>
    <mergeCell ref="A20:D20"/>
    <mergeCell ref="A17:D17"/>
    <mergeCell ref="A18:D18"/>
    <mergeCell ref="A19:D19"/>
    <mergeCell ref="N7:O8"/>
    <mergeCell ref="A21:D21"/>
    <mergeCell ref="A22:D22"/>
    <mergeCell ref="A24:D24"/>
    <mergeCell ref="G4:J4"/>
    <mergeCell ref="I7:J8"/>
  </mergeCells>
  <hyperlinks>
    <hyperlink ref="I7:J8" location="GraphEcon!A5" display="NAZAD"/>
    <hyperlink ref="N7:O8" location="SALCoEE!A1" display="DALJE"/>
  </hyperlinks>
  <pageMargins left="0.7" right="0.7" top="0.75" bottom="0.75" header="0.3" footer="0.3"/>
  <pageSetup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4:I37"/>
  <sheetViews>
    <sheetView topLeftCell="A6" workbookViewId="0">
      <selection activeCell="B16" sqref="B16"/>
    </sheetView>
  </sheetViews>
  <sheetFormatPr defaultRowHeight="15" x14ac:dyDescent="0.25"/>
  <cols>
    <col min="1" max="1" width="12.140625" customWidth="1"/>
    <col min="2" max="2" width="10.28515625" customWidth="1"/>
    <col min="3" max="3" width="11.42578125" customWidth="1"/>
    <col min="4" max="4" width="11" customWidth="1"/>
    <col min="5" max="5" width="10.7109375" customWidth="1"/>
  </cols>
  <sheetData>
    <row r="4" spans="1:9" ht="16.5" x14ac:dyDescent="0.35">
      <c r="F4" s="62" t="s">
        <v>190</v>
      </c>
      <c r="G4" s="62"/>
      <c r="H4" s="62"/>
      <c r="I4" s="62"/>
    </row>
    <row r="6" spans="1:9" ht="21" x14ac:dyDescent="0.35">
      <c r="A6" s="70" t="s">
        <v>127</v>
      </c>
      <c r="B6" s="70"/>
      <c r="C6" s="70"/>
    </row>
    <row r="8" spans="1:9" ht="15.75" thickBot="1" x14ac:dyDescent="0.3"/>
    <row r="9" spans="1:9" ht="15.75" thickBot="1" x14ac:dyDescent="0.3">
      <c r="B9" s="37" t="s">
        <v>193</v>
      </c>
      <c r="C9" s="38"/>
      <c r="D9" s="37" t="s">
        <v>194</v>
      </c>
      <c r="E9" s="38"/>
    </row>
    <row r="10" spans="1:9" ht="15.75" thickBot="1" x14ac:dyDescent="0.3">
      <c r="B10" s="39" t="s">
        <v>182</v>
      </c>
      <c r="C10" s="39" t="s">
        <v>183</v>
      </c>
      <c r="D10" s="39" t="s">
        <v>182</v>
      </c>
      <c r="E10" s="39" t="s">
        <v>183</v>
      </c>
    </row>
    <row r="12" spans="1:9" x14ac:dyDescent="0.25">
      <c r="A12" s="40" t="s">
        <v>181</v>
      </c>
      <c r="B12" s="50">
        <v>2257936.4199692905</v>
      </c>
      <c r="C12" s="36">
        <v>0.13594824073286826</v>
      </c>
      <c r="D12" s="50">
        <v>2644309.5186781087</v>
      </c>
      <c r="E12" s="7">
        <v>0.14806893896278694</v>
      </c>
    </row>
    <row r="13" spans="1:9" x14ac:dyDescent="0.25">
      <c r="B13" s="50"/>
      <c r="C13" s="36"/>
      <c r="D13" s="50"/>
    </row>
    <row r="14" spans="1:9" x14ac:dyDescent="0.25">
      <c r="A14" s="40" t="s">
        <v>85</v>
      </c>
      <c r="B14" s="50"/>
      <c r="C14" s="36"/>
      <c r="D14" s="50"/>
    </row>
    <row r="15" spans="1:9" x14ac:dyDescent="0.25">
      <c r="A15" s="20">
        <v>0.1</v>
      </c>
      <c r="B15" s="50">
        <v>1713406.5649966679</v>
      </c>
      <c r="C15" s="36">
        <v>0.11855609088388697</v>
      </c>
      <c r="D15" s="50">
        <v>2099779.6637054859</v>
      </c>
      <c r="E15" s="7">
        <v>0.13093711412451459</v>
      </c>
    </row>
    <row r="16" spans="1:9" x14ac:dyDescent="0.25">
      <c r="A16" s="20">
        <v>-0.1</v>
      </c>
      <c r="B16" s="50">
        <v>2802466.2749419129</v>
      </c>
      <c r="C16" s="36">
        <v>0.15298547154907149</v>
      </c>
      <c r="D16" s="50">
        <v>3188839.3736507311</v>
      </c>
      <c r="E16" s="7">
        <v>0.16490026995266627</v>
      </c>
    </row>
    <row r="17" spans="1:5" x14ac:dyDescent="0.25">
      <c r="A17" t="s">
        <v>184</v>
      </c>
      <c r="B17" s="36">
        <v>0.41299999999999998</v>
      </c>
      <c r="C17" s="36"/>
      <c r="D17" s="36">
        <v>0.4839</v>
      </c>
      <c r="E17" s="7"/>
    </row>
    <row r="18" spans="1:5" x14ac:dyDescent="0.25">
      <c r="B18" s="50"/>
      <c r="C18" s="36"/>
      <c r="D18" s="50"/>
    </row>
    <row r="19" spans="1:5" x14ac:dyDescent="0.25">
      <c r="A19" s="40" t="s">
        <v>185</v>
      </c>
      <c r="B19" s="50"/>
      <c r="C19" s="36"/>
      <c r="D19" s="50"/>
    </row>
    <row r="20" spans="1:5" x14ac:dyDescent="0.25">
      <c r="A20" s="20">
        <v>0.1</v>
      </c>
      <c r="B20" s="50">
        <v>3611936.0490040705</v>
      </c>
      <c r="C20" s="36">
        <v>0.1778106134911821</v>
      </c>
      <c r="D20" s="50">
        <v>3998309.1477128877</v>
      </c>
      <c r="E20" s="7">
        <v>0.18949438160325704</v>
      </c>
    </row>
    <row r="21" spans="1:5" x14ac:dyDescent="0.25">
      <c r="A21" s="20">
        <v>-0.1</v>
      </c>
      <c r="B21" s="50">
        <v>903936.79093451228</v>
      </c>
      <c r="C21" s="36">
        <v>9.1830528730690864E-2</v>
      </c>
      <c r="D21" s="50">
        <v>1290309.8896433301</v>
      </c>
      <c r="E21" s="7">
        <v>0.10473677483348864</v>
      </c>
    </row>
    <row r="22" spans="1:5" x14ac:dyDescent="0.25">
      <c r="A22" t="s">
        <v>184</v>
      </c>
      <c r="B22" s="36">
        <v>-0.1661</v>
      </c>
      <c r="C22" s="36"/>
      <c r="D22" s="36">
        <v>-0.1946</v>
      </c>
      <c r="E22" s="7"/>
    </row>
    <row r="23" spans="1:5" x14ac:dyDescent="0.25">
      <c r="B23" s="50"/>
      <c r="C23" s="36"/>
      <c r="D23" s="50"/>
    </row>
    <row r="24" spans="1:5" x14ac:dyDescent="0.25">
      <c r="A24" s="40" t="s">
        <v>186</v>
      </c>
      <c r="B24" s="50"/>
      <c r="C24" s="36"/>
      <c r="D24" s="50"/>
    </row>
    <row r="25" spans="1:5" x14ac:dyDescent="0.25">
      <c r="A25" s="20">
        <v>0.1</v>
      </c>
      <c r="B25" s="50">
        <v>2722024.364548231</v>
      </c>
      <c r="C25" s="36">
        <v>0.15048786653199819</v>
      </c>
      <c r="D25" s="50">
        <v>3459645.7348105195</v>
      </c>
      <c r="E25" s="7">
        <v>0.17317866244832003</v>
      </c>
    </row>
    <row r="26" spans="1:5" x14ac:dyDescent="0.25">
      <c r="A26" s="20">
        <v>-0.1</v>
      </c>
      <c r="B26" s="50">
        <v>1690717.8210394762</v>
      </c>
      <c r="C26" s="36">
        <v>0.11782238592425887</v>
      </c>
      <c r="D26" s="50">
        <v>1647787.4767384958</v>
      </c>
      <c r="E26" s="7">
        <v>0.1164319504322997</v>
      </c>
    </row>
    <row r="27" spans="1:5" x14ac:dyDescent="0.25">
      <c r="A27" t="s">
        <v>184</v>
      </c>
      <c r="B27" s="36">
        <v>-0.30580000000000002</v>
      </c>
      <c r="C27" s="36"/>
      <c r="D27" s="36">
        <v>-0.2271</v>
      </c>
      <c r="E27" s="7"/>
    </row>
    <row r="28" spans="1:5" x14ac:dyDescent="0.25">
      <c r="B28" s="51"/>
      <c r="C28" s="36"/>
      <c r="D28" s="51"/>
      <c r="E28" s="7"/>
    </row>
    <row r="29" spans="1:5" x14ac:dyDescent="0.25">
      <c r="A29" s="40" t="s">
        <v>187</v>
      </c>
      <c r="B29" s="51"/>
      <c r="C29" s="36"/>
      <c r="D29" s="51"/>
      <c r="E29" s="7"/>
    </row>
    <row r="30" spans="1:5" x14ac:dyDescent="0.25">
      <c r="A30" s="20">
        <v>0.1</v>
      </c>
      <c r="B30" s="50">
        <v>1331420.3375798508</v>
      </c>
      <c r="C30" s="36">
        <v>0.10874551168883761</v>
      </c>
      <c r="D30" s="50">
        <v>1699440.5756310704</v>
      </c>
      <c r="E30" s="7">
        <v>0.12010567212805534</v>
      </c>
    </row>
    <row r="31" spans="1:5" x14ac:dyDescent="0.25">
      <c r="A31" s="20">
        <v>-0.1</v>
      </c>
      <c r="B31" s="50">
        <v>3307380.5227466547</v>
      </c>
      <c r="C31" s="36">
        <v>0.16835772648169556</v>
      </c>
      <c r="D31" s="50">
        <v>3718028.9817039915</v>
      </c>
      <c r="E31" s="7">
        <v>0.18146700406843275</v>
      </c>
    </row>
    <row r="32" spans="1:5" x14ac:dyDescent="0.25">
      <c r="A32" t="s">
        <v>184</v>
      </c>
      <c r="B32" s="36">
        <v>0.26150000000000001</v>
      </c>
      <c r="C32" s="51"/>
      <c r="D32" s="36">
        <v>0.30599999999999999</v>
      </c>
      <c r="E32" s="7"/>
    </row>
    <row r="33" spans="1:5" x14ac:dyDescent="0.25">
      <c r="B33" s="50"/>
      <c r="C33" s="50"/>
      <c r="D33" s="50"/>
    </row>
    <row r="34" spans="1:5" x14ac:dyDescent="0.25">
      <c r="A34" s="66" t="s">
        <v>129</v>
      </c>
      <c r="B34" s="50"/>
      <c r="C34" s="83" t="s">
        <v>130</v>
      </c>
      <c r="D34" s="83"/>
    </row>
    <row r="35" spans="1:5" x14ac:dyDescent="0.25">
      <c r="A35" s="66"/>
      <c r="B35" s="50"/>
      <c r="C35" s="83"/>
      <c r="D35" s="83"/>
    </row>
    <row r="36" spans="1:5" x14ac:dyDescent="0.25">
      <c r="B36" s="50"/>
      <c r="C36" s="50"/>
      <c r="D36" s="50"/>
    </row>
    <row r="37" spans="1:5" x14ac:dyDescent="0.25">
      <c r="B37" s="50">
        <f>+FNPV</f>
        <v>2257936.4199692905</v>
      </c>
      <c r="C37" s="36">
        <f>+FIRR</f>
        <v>0.13594824073286826</v>
      </c>
      <c r="D37" s="50">
        <f>+'FinInd+CO2'!$E$47</f>
        <v>2075967.1541257848</v>
      </c>
      <c r="E37" s="7">
        <f>+'FinInd+CO2'!$E$48</f>
        <v>0.13017991444566412</v>
      </c>
    </row>
  </sheetData>
  <sheetProtection selectLockedCells="1"/>
  <mergeCells count="4">
    <mergeCell ref="A34:A35"/>
    <mergeCell ref="C34:D35"/>
    <mergeCell ref="A6:C6"/>
    <mergeCell ref="F4:I4"/>
  </mergeCells>
  <hyperlinks>
    <hyperlink ref="A34:A35" location="LCoEE!I1" display="NAZAD"/>
    <hyperlink ref="C34:D35" location="AkoESCO!A1" display="DALJE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Y16"/>
  <sheetViews>
    <sheetView workbookViewId="0"/>
  </sheetViews>
  <sheetFormatPr defaultRowHeight="15" x14ac:dyDescent="0.25"/>
  <cols>
    <col min="5" max="5" width="13.42578125" customWidth="1"/>
    <col min="6" max="6" width="10.42578125" customWidth="1"/>
    <col min="7" max="7" width="11" customWidth="1"/>
    <col min="8" max="8" width="10.85546875" customWidth="1"/>
    <col min="9" max="10" width="10.5703125" customWidth="1"/>
    <col min="11" max="11" width="11" customWidth="1"/>
    <col min="12" max="12" width="9.85546875" customWidth="1"/>
    <col min="13" max="13" width="11.140625" customWidth="1"/>
    <col min="15" max="15" width="10.42578125" customWidth="1"/>
    <col min="16" max="17" width="11.140625" customWidth="1"/>
    <col min="18" max="18" width="11" customWidth="1"/>
    <col min="19" max="20" width="10.7109375" customWidth="1"/>
    <col min="21" max="21" width="11" customWidth="1"/>
    <col min="22" max="23" width="10.85546875" customWidth="1"/>
    <col min="24" max="24" width="11" customWidth="1"/>
    <col min="25" max="25" width="10.42578125" customWidth="1"/>
  </cols>
  <sheetData>
    <row r="4" spans="1:25" ht="16.5" x14ac:dyDescent="0.35">
      <c r="G4" s="62" t="s">
        <v>190</v>
      </c>
      <c r="H4" s="62"/>
      <c r="I4" s="62"/>
      <c r="J4" s="62"/>
    </row>
    <row r="7" spans="1:25" ht="18.75" x14ac:dyDescent="0.25">
      <c r="A7" s="64" t="s">
        <v>132</v>
      </c>
      <c r="B7" s="64"/>
      <c r="C7" s="64"/>
      <c r="D7" s="64"/>
      <c r="I7" s="66" t="s">
        <v>129</v>
      </c>
      <c r="J7" s="66"/>
      <c r="N7" s="68" t="s">
        <v>133</v>
      </c>
      <c r="O7" s="68"/>
    </row>
    <row r="8" spans="1:25" x14ac:dyDescent="0.25">
      <c r="A8" s="64"/>
      <c r="B8" s="64"/>
      <c r="C8" s="64"/>
      <c r="D8" s="64"/>
    </row>
    <row r="10" spans="1:25" x14ac:dyDescent="0.25">
      <c r="A10" s="72" t="s">
        <v>123</v>
      </c>
      <c r="B10" s="72"/>
      <c r="C10" s="72"/>
      <c r="D10" s="72"/>
      <c r="E10" s="17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</row>
    <row r="12" spans="1:25" x14ac:dyDescent="0.25">
      <c r="A12" s="73" t="s">
        <v>139</v>
      </c>
      <c r="B12" s="73"/>
      <c r="C12" s="73"/>
      <c r="D12" s="73"/>
      <c r="E12" s="3">
        <v>0</v>
      </c>
      <c r="F12" s="3">
        <f>IF(F10&lt;&gt;"",-FinaIndicators!F29,"")</f>
        <v>0</v>
      </c>
      <c r="G12" s="3">
        <f>IF(G10&lt;&gt;"",-FinaIndicators!G29,"")</f>
        <v>0</v>
      </c>
      <c r="H12" s="3">
        <f>IF(H10&lt;&gt;"",-FinaIndicators!H29,"")</f>
        <v>0</v>
      </c>
      <c r="I12" s="3">
        <f>IF(I10&lt;&gt;"",-FinaIndicators!I29,"")</f>
        <v>0</v>
      </c>
      <c r="J12" s="3">
        <f>IF(J10&lt;&gt;"",-FinaIndicators!J29,"")</f>
        <v>0</v>
      </c>
      <c r="K12" s="3">
        <f>IF(K10&lt;&gt;"",-FinaIndicators!K29,"")</f>
        <v>0</v>
      </c>
      <c r="L12" s="3">
        <f>IF(L10&lt;&gt;"",-FinaIndicators!L29,"")</f>
        <v>0</v>
      </c>
      <c r="M12" s="3">
        <f>IF(M10&lt;&gt;"",-FinaIndicators!M29,"")</f>
        <v>0</v>
      </c>
      <c r="N12" s="3">
        <f>IF(N10&lt;&gt;"",-FinaIndicators!N29,"")</f>
        <v>0</v>
      </c>
      <c r="O12" s="3">
        <f>IF(O10&lt;&gt;"",-FinaIndicators!O29,"")</f>
        <v>0</v>
      </c>
      <c r="P12" s="3">
        <f>IF(P10&lt;&gt;"",-FinaIndicators!P29,"")</f>
        <v>0</v>
      </c>
      <c r="Q12" s="3">
        <f>IF(Q10&lt;&gt;"",-FinaIndicators!Q29,"")</f>
        <v>0</v>
      </c>
      <c r="R12" s="3">
        <f>IF(R10&lt;&gt;"",-FinaIndicators!R29,"")</f>
        <v>0</v>
      </c>
      <c r="S12" s="3">
        <f>IF(S10&lt;&gt;"",-FinaIndicators!S29,"")</f>
        <v>0</v>
      </c>
      <c r="T12" s="3">
        <f>IF(T10&lt;&gt;"",-FinaIndicators!T29,"")</f>
        <v>0</v>
      </c>
      <c r="U12" s="3">
        <f>IF(U10&lt;&gt;"",-FinaIndicators!U29,"")</f>
        <v>0</v>
      </c>
      <c r="V12" s="3">
        <f>IF(V10&lt;&gt;"",-FinaIndicators!V29,"")</f>
        <v>0</v>
      </c>
      <c r="W12" s="3">
        <f>IF(W10&lt;&gt;"",-FinaIndicators!W29,"")</f>
        <v>0</v>
      </c>
      <c r="X12" s="3">
        <f>IF(X10&lt;&gt;"",-FinaIndicators!X29,"")</f>
        <v>0</v>
      </c>
      <c r="Y12" s="3">
        <f>IF(Y10&lt;&gt;"",-FinaIndicators!Y29,"")</f>
        <v>0</v>
      </c>
    </row>
    <row r="13" spans="1:25" x14ac:dyDescent="0.25">
      <c r="A13" s="73" t="s">
        <v>140</v>
      </c>
      <c r="B13" s="73"/>
      <c r="C13" s="73"/>
      <c r="D13" s="73"/>
      <c r="E13" s="3">
        <v>0</v>
      </c>
      <c r="F13" s="3">
        <f>IF(F10&lt;&gt;"",F12*(1+UnosPodataka!$M$22)^(-F10),"")</f>
        <v>0</v>
      </c>
      <c r="G13" s="3">
        <f>IF(G10&lt;&gt;"",G12*(1+UnosPodataka!$M$22)^(-G10),"")</f>
        <v>0</v>
      </c>
      <c r="H13" s="3">
        <f>IF(H10&lt;&gt;"",H12*(1+UnosPodataka!$M$22)^(-H10),"")</f>
        <v>0</v>
      </c>
      <c r="I13" s="3">
        <f>IF(I10&lt;&gt;"",I12*(1+UnosPodataka!$M$22)^(-I10),"")</f>
        <v>0</v>
      </c>
      <c r="J13" s="3">
        <f>IF(J10&lt;&gt;"",J12*(1+UnosPodataka!$M$22)^(-J10),"")</f>
        <v>0</v>
      </c>
      <c r="K13" s="3">
        <f>IF(K10&lt;&gt;"",K12*(1+UnosPodataka!$M$22)^(-K10),"")</f>
        <v>0</v>
      </c>
      <c r="L13" s="3">
        <f>IF(L10&lt;&gt;"",L12*(1+UnosPodataka!$M$22)^(-L10),"")</f>
        <v>0</v>
      </c>
      <c r="M13" s="3">
        <f>IF(M10&lt;&gt;"",M12*(1+UnosPodataka!$M$22)^(-M10),"")</f>
        <v>0</v>
      </c>
      <c r="N13" s="3">
        <f>IF(N10&lt;&gt;"",N12*(1+UnosPodataka!$M$22)^(-N10),"")</f>
        <v>0</v>
      </c>
      <c r="O13" s="3">
        <f>IF(O10&lt;&gt;"",O12*(1+UnosPodataka!$M$22)^(-O10),"")</f>
        <v>0</v>
      </c>
      <c r="P13" s="3">
        <f>IF(P10&lt;&gt;"",P12*(1+UnosPodataka!$M$22)^(-P10),"")</f>
        <v>0</v>
      </c>
      <c r="Q13" s="3">
        <f>IF(Q10&lt;&gt;"",Q12*(1+UnosPodataka!$M$22)^(-Q10),"")</f>
        <v>0</v>
      </c>
      <c r="R13" s="3">
        <f>IF(R10&lt;&gt;"",R12*(1+UnosPodataka!$M$22)^(-R10),"")</f>
        <v>0</v>
      </c>
      <c r="S13" s="3">
        <f>IF(S10&lt;&gt;"",S12*(1+UnosPodataka!$M$22)^(-S10),"")</f>
        <v>0</v>
      </c>
      <c r="T13" s="3">
        <f>IF(T10&lt;&gt;"",T12*(1+UnosPodataka!$M$22)^(-T10),"")</f>
        <v>0</v>
      </c>
      <c r="U13" s="3">
        <f>IF(U10&lt;&gt;"",U12*(1+UnosPodataka!$M$22)^(-U10),"")</f>
        <v>0</v>
      </c>
      <c r="V13" s="3">
        <f>IF(V10&lt;&gt;"",V12*(1+UnosPodataka!$M$22)^(-V10),"")</f>
        <v>0</v>
      </c>
      <c r="W13" s="3">
        <f>IF(W10&lt;&gt;"",W12*(1+UnosPodataka!$M$22)^(-W10),"")</f>
        <v>0</v>
      </c>
      <c r="X13" s="3">
        <f>IF(X10&lt;&gt;"",X12*(1+UnosPodataka!$M$22)^(-X10),"")</f>
        <v>0</v>
      </c>
      <c r="Y13" s="3">
        <f>IF(Y10&lt;&gt;"",Y12*(1+UnosPodataka!$M$22)^(-Y10),"")</f>
        <v>0</v>
      </c>
    </row>
    <row r="15" spans="1:25" x14ac:dyDescent="0.25">
      <c r="A15" s="72" t="s">
        <v>25</v>
      </c>
      <c r="B15" s="72"/>
      <c r="C15" s="72"/>
      <c r="D15" s="72"/>
      <c r="E15" s="19">
        <f>NPV(UnosPodataka!M22,AkoESCO!E12:Y12)</f>
        <v>0</v>
      </c>
    </row>
    <row r="16" spans="1:25" x14ac:dyDescent="0.25">
      <c r="A16" s="72" t="s">
        <v>26</v>
      </c>
      <c r="B16" s="72"/>
      <c r="C16" s="72"/>
      <c r="D16" s="72"/>
      <c r="E16" s="6" t="s">
        <v>141</v>
      </c>
    </row>
  </sheetData>
  <mergeCells count="9">
    <mergeCell ref="G4:J4"/>
    <mergeCell ref="A16:D16"/>
    <mergeCell ref="A7:D8"/>
    <mergeCell ref="I7:J7"/>
    <mergeCell ref="N7:O7"/>
    <mergeCell ref="A10:D10"/>
    <mergeCell ref="A12:D12"/>
    <mergeCell ref="A13:D13"/>
    <mergeCell ref="A15:D15"/>
  </mergeCells>
  <hyperlinks>
    <hyperlink ref="I7:J7" location="SALCoEE!A10" display="NAZAD"/>
    <hyperlink ref="N7:O7" location="ESCOGrafFina!A1" display="NAPRED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2"/>
  <sheetViews>
    <sheetView workbookViewId="0"/>
  </sheetViews>
  <sheetFormatPr defaultRowHeight="15" x14ac:dyDescent="0.25"/>
  <sheetData>
    <row r="3" spans="1:10" ht="16.5" x14ac:dyDescent="0.35">
      <c r="G3" s="62" t="s">
        <v>190</v>
      </c>
      <c r="H3" s="62"/>
      <c r="I3" s="62"/>
      <c r="J3" s="62"/>
    </row>
    <row r="7" spans="1:10" x14ac:dyDescent="0.25">
      <c r="A7" s="64" t="s">
        <v>134</v>
      </c>
      <c r="B7" s="64"/>
      <c r="C7" s="64"/>
      <c r="D7" s="64"/>
    </row>
    <row r="8" spans="1:10" x14ac:dyDescent="0.25">
      <c r="A8" s="64"/>
      <c r="B8" s="64"/>
      <c r="C8" s="64"/>
      <c r="D8" s="64"/>
    </row>
    <row r="9" spans="1:10" x14ac:dyDescent="0.25">
      <c r="A9" s="64"/>
      <c r="B9" s="64"/>
      <c r="C9" s="64"/>
      <c r="D9" s="64"/>
    </row>
    <row r="11" spans="1:10" x14ac:dyDescent="0.25">
      <c r="A11" s="66" t="s">
        <v>129</v>
      </c>
      <c r="B11" s="66"/>
      <c r="D11" s="68" t="s">
        <v>130</v>
      </c>
      <c r="E11" s="68"/>
    </row>
    <row r="12" spans="1:10" x14ac:dyDescent="0.25">
      <c r="A12" s="66"/>
      <c r="B12" s="66"/>
      <c r="D12" s="68"/>
      <c r="E12" s="68"/>
    </row>
  </sheetData>
  <mergeCells count="4">
    <mergeCell ref="A7:D9"/>
    <mergeCell ref="A11:B12"/>
    <mergeCell ref="D11:E12"/>
    <mergeCell ref="G3:J3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1"/>
  <sheetViews>
    <sheetView tabSelected="1" workbookViewId="0">
      <selection activeCell="Q24" sqref="Q24"/>
    </sheetView>
  </sheetViews>
  <sheetFormatPr defaultRowHeight="15" x14ac:dyDescent="0.25"/>
  <sheetData>
    <row r="3" spans="1:9" ht="16.5" x14ac:dyDescent="0.35">
      <c r="E3" s="62" t="s">
        <v>190</v>
      </c>
      <c r="F3" s="62"/>
      <c r="G3" s="62"/>
      <c r="H3" s="62"/>
    </row>
    <row r="7" spans="1:9" x14ac:dyDescent="0.25">
      <c r="A7" s="64" t="s">
        <v>135</v>
      </c>
      <c r="B7" s="64"/>
      <c r="C7" s="64"/>
      <c r="D7" s="64"/>
    </row>
    <row r="8" spans="1:9" x14ac:dyDescent="0.25">
      <c r="A8" s="64"/>
      <c r="B8" s="64"/>
      <c r="C8" s="64"/>
      <c r="D8" s="64"/>
    </row>
    <row r="9" spans="1:9" x14ac:dyDescent="0.25">
      <c r="B9" s="72" t="s">
        <v>35</v>
      </c>
      <c r="C9" s="72"/>
      <c r="D9" s="72"/>
      <c r="E9" s="67" t="str">
        <f>PROJEKAT</f>
        <v>Toplotna pumpa velikog kapaciteta</v>
      </c>
      <c r="F9" s="67"/>
      <c r="G9" s="67"/>
      <c r="H9" s="67"/>
      <c r="I9" s="67"/>
    </row>
    <row r="10" spans="1:9" x14ac:dyDescent="0.25">
      <c r="B10" s="72" t="s">
        <v>136</v>
      </c>
      <c r="C10" s="72"/>
      <c r="D10" s="72"/>
      <c r="E10" s="85">
        <f>Investment</f>
        <v>3235000</v>
      </c>
      <c r="F10" s="85"/>
      <c r="G10" s="85"/>
      <c r="H10" s="85"/>
      <c r="I10" s="85"/>
    </row>
    <row r="11" spans="1:9" x14ac:dyDescent="0.25">
      <c r="B11" s="72" t="s">
        <v>137</v>
      </c>
      <c r="C11" s="72"/>
      <c r="D11" s="72"/>
      <c r="E11" s="85">
        <f>Investment-Equity-Loan</f>
        <v>1560000</v>
      </c>
      <c r="F11" s="67"/>
      <c r="G11" s="67"/>
      <c r="H11" s="67"/>
      <c r="I11" s="67"/>
    </row>
    <row r="12" spans="1:9" x14ac:dyDescent="0.25">
      <c r="B12" s="72" t="s">
        <v>104</v>
      </c>
      <c r="C12" s="72"/>
      <c r="D12" s="72"/>
      <c r="E12" s="85">
        <f>Equity</f>
        <v>100000</v>
      </c>
      <c r="F12" s="85"/>
      <c r="G12" s="85"/>
      <c r="H12" s="85"/>
      <c r="I12" s="85"/>
    </row>
    <row r="13" spans="1:9" x14ac:dyDescent="0.25">
      <c r="B13" s="72" t="s">
        <v>103</v>
      </c>
      <c r="C13" s="72"/>
      <c r="D13" s="72"/>
      <c r="E13" s="85">
        <f>Loan</f>
        <v>1575000</v>
      </c>
      <c r="F13" s="85"/>
      <c r="G13" s="85"/>
      <c r="H13" s="85"/>
      <c r="I13" s="85"/>
    </row>
    <row r="14" spans="1:9" x14ac:dyDescent="0.25">
      <c r="B14" s="72" t="s">
        <v>138</v>
      </c>
      <c r="C14" s="72"/>
      <c r="D14" s="72"/>
      <c r="E14" s="85">
        <f>LCoE</f>
        <v>68.811430229998408</v>
      </c>
      <c r="F14" s="85"/>
      <c r="G14" s="85"/>
      <c r="H14" s="85"/>
      <c r="I14" s="85"/>
    </row>
    <row r="15" spans="1:9" x14ac:dyDescent="0.25">
      <c r="B15" s="72" t="s">
        <v>182</v>
      </c>
      <c r="C15" s="72"/>
      <c r="D15" s="72"/>
      <c r="E15" s="85">
        <f>FNPV</f>
        <v>2257936.4199692905</v>
      </c>
      <c r="F15" s="85"/>
      <c r="G15" s="85"/>
      <c r="H15" s="85"/>
      <c r="I15" s="85"/>
    </row>
    <row r="16" spans="1:9" x14ac:dyDescent="0.25">
      <c r="B16" s="72" t="s">
        <v>26</v>
      </c>
      <c r="C16" s="72"/>
      <c r="D16" s="72"/>
      <c r="E16" s="84">
        <f>FIRR</f>
        <v>0.13594824073286826</v>
      </c>
      <c r="F16" s="84"/>
      <c r="G16" s="84"/>
      <c r="H16" s="84"/>
      <c r="I16" s="84"/>
    </row>
    <row r="17" spans="2:9" x14ac:dyDescent="0.25">
      <c r="B17" s="72" t="s">
        <v>195</v>
      </c>
      <c r="C17" s="72"/>
      <c r="D17" s="72"/>
      <c r="E17" s="86">
        <f>+'FinInd+CO2'!E47</f>
        <v>2075967.1541257848</v>
      </c>
      <c r="F17" s="67"/>
      <c r="G17" s="67"/>
      <c r="H17" s="67"/>
      <c r="I17" s="67"/>
    </row>
    <row r="18" spans="2:9" x14ac:dyDescent="0.25">
      <c r="B18" s="72" t="s">
        <v>196</v>
      </c>
      <c r="C18" s="72"/>
      <c r="D18" s="72"/>
      <c r="E18" s="84">
        <f>+'FinInd+CO2'!E48</f>
        <v>0.13017991444566412</v>
      </c>
      <c r="F18" s="67"/>
      <c r="G18" s="67"/>
      <c r="H18" s="67"/>
      <c r="I18" s="67"/>
    </row>
    <row r="20" spans="2:9" x14ac:dyDescent="0.25">
      <c r="B20" s="66" t="s">
        <v>129</v>
      </c>
      <c r="C20" s="66"/>
    </row>
    <row r="21" spans="2:9" x14ac:dyDescent="0.25">
      <c r="B21" s="66"/>
      <c r="C21" s="66"/>
    </row>
  </sheetData>
  <mergeCells count="23">
    <mergeCell ref="E3:H3"/>
    <mergeCell ref="B20:C21"/>
    <mergeCell ref="A7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E15:I15"/>
    <mergeCell ref="E16:I16"/>
    <mergeCell ref="E17:I17"/>
    <mergeCell ref="E18:I18"/>
    <mergeCell ref="E9:I9"/>
    <mergeCell ref="E10:I10"/>
    <mergeCell ref="E11:I11"/>
    <mergeCell ref="E12:I12"/>
    <mergeCell ref="E13:I13"/>
    <mergeCell ref="E14:I14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C23"/>
  <sheetViews>
    <sheetView zoomScaleNormal="100" workbookViewId="0">
      <selection activeCell="H24" sqref="H24"/>
    </sheetView>
  </sheetViews>
  <sheetFormatPr defaultRowHeight="15" x14ac:dyDescent="0.25"/>
  <cols>
    <col min="2" max="2" width="18" customWidth="1"/>
    <col min="3" max="3" width="33" customWidth="1"/>
  </cols>
  <sheetData>
    <row r="7" spans="2:3" ht="21" x14ac:dyDescent="0.35">
      <c r="B7" s="61" t="s">
        <v>207</v>
      </c>
      <c r="C7" s="55"/>
    </row>
    <row r="8" spans="2:3" ht="18" x14ac:dyDescent="0.35">
      <c r="B8" s="55"/>
      <c r="C8" s="53" t="s">
        <v>208</v>
      </c>
    </row>
    <row r="9" spans="2:3" x14ac:dyDescent="0.25">
      <c r="B9" s="55" t="s">
        <v>19</v>
      </c>
      <c r="C9" s="8">
        <v>0.4</v>
      </c>
    </row>
    <row r="10" spans="2:3" x14ac:dyDescent="0.25">
      <c r="B10" s="55" t="s">
        <v>18</v>
      </c>
      <c r="C10" s="8">
        <v>0.33</v>
      </c>
    </row>
    <row r="11" spans="2:3" x14ac:dyDescent="0.25">
      <c r="B11" s="55" t="s">
        <v>209</v>
      </c>
      <c r="C11" s="8">
        <v>0.34</v>
      </c>
    </row>
    <row r="12" spans="2:3" x14ac:dyDescent="0.25">
      <c r="B12" s="55" t="s">
        <v>210</v>
      </c>
      <c r="C12" s="8">
        <v>0.27</v>
      </c>
    </row>
    <row r="13" spans="2:3" x14ac:dyDescent="0.25">
      <c r="B13" s="55" t="s">
        <v>16</v>
      </c>
      <c r="C13" s="8">
        <v>0.28000000000000003</v>
      </c>
    </row>
    <row r="14" spans="2:3" x14ac:dyDescent="0.25">
      <c r="B14" s="55" t="s">
        <v>13</v>
      </c>
      <c r="C14" s="8">
        <v>0.2</v>
      </c>
    </row>
    <row r="15" spans="2:3" x14ac:dyDescent="0.25">
      <c r="B15" s="55" t="s">
        <v>211</v>
      </c>
      <c r="C15" s="8">
        <v>0.22</v>
      </c>
    </row>
    <row r="16" spans="2:3" x14ac:dyDescent="0.25">
      <c r="B16" s="55" t="s">
        <v>212</v>
      </c>
      <c r="C16" s="8">
        <v>0.49399999999999999</v>
      </c>
    </row>
    <row r="17" spans="2:3" x14ac:dyDescent="0.25">
      <c r="B17" s="55" t="s">
        <v>21</v>
      </c>
      <c r="C17" s="8">
        <v>4.9000000000000002E-2</v>
      </c>
    </row>
    <row r="18" spans="2:3" x14ac:dyDescent="0.25">
      <c r="B18" s="55" t="s">
        <v>213</v>
      </c>
      <c r="C18" s="8">
        <v>0.04</v>
      </c>
    </row>
    <row r="19" spans="2:3" x14ac:dyDescent="0.25">
      <c r="B19" s="55" t="s">
        <v>214</v>
      </c>
      <c r="C19" s="8">
        <v>0.28999999999999998</v>
      </c>
    </row>
    <row r="20" spans="2:3" x14ac:dyDescent="0.25">
      <c r="B20" s="55" t="s">
        <v>17</v>
      </c>
      <c r="C20" s="8">
        <v>0.8</v>
      </c>
    </row>
    <row r="21" spans="2:3" x14ac:dyDescent="0.25">
      <c r="B21" s="55" t="s">
        <v>215</v>
      </c>
      <c r="C21" s="8">
        <v>0</v>
      </c>
    </row>
    <row r="22" spans="2:3" x14ac:dyDescent="0.25">
      <c r="B22" s="55" t="s">
        <v>204</v>
      </c>
      <c r="C22" s="55"/>
    </row>
    <row r="23" spans="2:3" x14ac:dyDescent="0.25">
      <c r="B23" s="55" t="s">
        <v>216</v>
      </c>
      <c r="C23" s="8">
        <v>0.22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zoomScaleNormal="100" workbookViewId="0">
      <selection activeCell="J22" sqref="J22"/>
    </sheetView>
  </sheetViews>
  <sheetFormatPr defaultRowHeight="15" x14ac:dyDescent="0.25"/>
  <cols>
    <col min="2" max="2" width="26.28515625" customWidth="1"/>
  </cols>
  <sheetData>
    <row r="1" spans="1:9" x14ac:dyDescent="0.25">
      <c r="A1" s="55"/>
      <c r="B1" s="55"/>
      <c r="C1" s="55"/>
      <c r="D1" s="55"/>
      <c r="E1" s="55"/>
      <c r="F1" s="55"/>
      <c r="G1" s="55"/>
      <c r="H1" s="55"/>
      <c r="I1" s="55"/>
    </row>
    <row r="2" spans="1:9" x14ac:dyDescent="0.25">
      <c r="A2" s="55"/>
      <c r="B2" s="55"/>
      <c r="C2" s="55"/>
      <c r="D2" s="55"/>
      <c r="E2" s="55"/>
      <c r="F2" s="55"/>
      <c r="G2" s="55"/>
      <c r="H2" s="55"/>
      <c r="I2" s="55"/>
    </row>
    <row r="3" spans="1:9" ht="16.5" x14ac:dyDescent="0.35">
      <c r="A3" s="55"/>
      <c r="B3" s="55"/>
      <c r="C3" s="55"/>
      <c r="D3" s="62" t="s">
        <v>190</v>
      </c>
      <c r="E3" s="62"/>
      <c r="F3" s="62"/>
      <c r="G3" s="62"/>
      <c r="H3" s="55"/>
      <c r="I3" s="55"/>
    </row>
    <row r="4" spans="1:9" x14ac:dyDescent="0.25">
      <c r="A4" s="55"/>
      <c r="B4" s="55"/>
      <c r="C4" s="55"/>
      <c r="D4" s="55"/>
      <c r="E4" s="55"/>
      <c r="F4" s="55"/>
      <c r="G4" s="55"/>
      <c r="H4" s="55"/>
      <c r="I4" s="55"/>
    </row>
    <row r="5" spans="1:9" x14ac:dyDescent="0.25">
      <c r="A5" s="55"/>
      <c r="B5" s="55"/>
      <c r="C5" s="55"/>
      <c r="D5" s="55"/>
      <c r="E5" s="55"/>
      <c r="F5" s="55"/>
      <c r="G5" s="55"/>
      <c r="H5" s="55"/>
      <c r="I5" s="55"/>
    </row>
    <row r="6" spans="1:9" x14ac:dyDescent="0.25">
      <c r="A6" s="55"/>
      <c r="B6" s="55"/>
      <c r="C6" s="55"/>
      <c r="D6" s="55"/>
      <c r="E6" s="55"/>
      <c r="F6" s="55"/>
      <c r="G6" s="55"/>
      <c r="H6" s="55"/>
      <c r="I6" s="55"/>
    </row>
    <row r="7" spans="1:9" ht="21" x14ac:dyDescent="0.35">
      <c r="A7" s="55"/>
      <c r="B7" s="70" t="s">
        <v>197</v>
      </c>
      <c r="C7" s="70"/>
      <c r="D7" s="70"/>
      <c r="E7" s="70"/>
      <c r="F7" s="70"/>
      <c r="G7" s="70"/>
      <c r="H7" s="55"/>
      <c r="I7" s="55"/>
    </row>
    <row r="8" spans="1:9" x14ac:dyDescent="0.25">
      <c r="A8" s="55"/>
      <c r="B8" s="53"/>
      <c r="C8" s="53"/>
      <c r="D8" s="53"/>
      <c r="E8" s="53"/>
      <c r="F8" s="53"/>
      <c r="G8" s="53"/>
      <c r="H8" s="55"/>
      <c r="I8" s="55"/>
    </row>
    <row r="9" spans="1:9" ht="15" customHeight="1" x14ac:dyDescent="0.25">
      <c r="A9" s="55"/>
      <c r="B9" s="71" t="s">
        <v>198</v>
      </c>
      <c r="C9" s="71" t="s">
        <v>199</v>
      </c>
      <c r="D9" s="71" t="s">
        <v>200</v>
      </c>
      <c r="E9" s="71" t="s">
        <v>201</v>
      </c>
      <c r="F9" s="55"/>
      <c r="G9" s="55"/>
      <c r="H9" s="55"/>
      <c r="I9" s="55"/>
    </row>
    <row r="10" spans="1:9" x14ac:dyDescent="0.25">
      <c r="A10" s="55"/>
      <c r="B10" s="71"/>
      <c r="C10" s="71"/>
      <c r="D10" s="71"/>
      <c r="E10" s="71"/>
      <c r="F10" s="55"/>
      <c r="G10" s="55"/>
      <c r="H10" s="55"/>
      <c r="I10" s="55"/>
    </row>
    <row r="11" spans="1:9" ht="18" x14ac:dyDescent="0.35">
      <c r="A11" s="55"/>
      <c r="B11" s="21"/>
      <c r="C11" s="54" t="s">
        <v>23</v>
      </c>
      <c r="D11" s="54" t="s">
        <v>202</v>
      </c>
      <c r="E11" s="54" t="s">
        <v>203</v>
      </c>
      <c r="F11" s="55"/>
      <c r="G11" s="55"/>
      <c r="H11" s="55"/>
      <c r="I11" s="55"/>
    </row>
    <row r="12" spans="1:9" x14ac:dyDescent="0.25">
      <c r="A12" s="55"/>
      <c r="B12" s="56" t="s">
        <v>21</v>
      </c>
      <c r="C12" s="57">
        <v>36000</v>
      </c>
      <c r="D12" s="58">
        <f>VLOOKUP(B12,Gorivo!$B$9:$C$23,2,FALSE)</f>
        <v>4.9000000000000002E-2</v>
      </c>
      <c r="E12" s="59">
        <f>IF(B12&lt;&gt;"Gorivo",C12*D12,"")</f>
        <v>1764</v>
      </c>
      <c r="F12" s="55"/>
      <c r="G12" s="55"/>
      <c r="H12" s="55"/>
      <c r="I12" s="55"/>
    </row>
    <row r="13" spans="1:9" x14ac:dyDescent="0.25">
      <c r="A13" s="55"/>
      <c r="B13" s="56" t="s">
        <v>16</v>
      </c>
      <c r="C13" s="57">
        <v>57000</v>
      </c>
      <c r="D13" s="58">
        <f>VLOOKUP(B13,Gorivo!$B$9:$C$23,2,FALSE)</f>
        <v>0.28000000000000003</v>
      </c>
      <c r="E13" s="59">
        <f t="shared" ref="E13:E17" si="0">IF(B13&lt;&gt;"Gorivo",C13*D13,"")</f>
        <v>15960.000000000002</v>
      </c>
      <c r="F13" s="55"/>
      <c r="G13" s="55"/>
      <c r="H13" s="55"/>
      <c r="I13" s="55"/>
    </row>
    <row r="14" spans="1:9" x14ac:dyDescent="0.25">
      <c r="A14" s="55"/>
      <c r="B14" s="56" t="s">
        <v>204</v>
      </c>
      <c r="C14" s="57"/>
      <c r="D14" s="58">
        <f>VLOOKUP(B14,Gorivo!$B$9:$C$23,2,FALSE)</f>
        <v>0</v>
      </c>
      <c r="E14" s="59" t="str">
        <f t="shared" si="0"/>
        <v/>
      </c>
      <c r="F14" s="55"/>
      <c r="G14" s="55"/>
      <c r="H14" s="55"/>
      <c r="I14" s="55"/>
    </row>
    <row r="15" spans="1:9" x14ac:dyDescent="0.25">
      <c r="A15" s="55"/>
      <c r="B15" s="56" t="s">
        <v>204</v>
      </c>
      <c r="C15" s="57"/>
      <c r="D15" s="58">
        <f>VLOOKUP(B15,Gorivo!$B$9:$C$23,2,FALSE)</f>
        <v>0</v>
      </c>
      <c r="E15" s="59" t="str">
        <f t="shared" si="0"/>
        <v/>
      </c>
      <c r="F15" s="55"/>
      <c r="G15" s="55"/>
      <c r="H15" s="55"/>
      <c r="I15" s="55"/>
    </row>
    <row r="16" spans="1:9" x14ac:dyDescent="0.25">
      <c r="A16" s="55"/>
      <c r="B16" s="56" t="s">
        <v>204</v>
      </c>
      <c r="C16" s="57"/>
      <c r="D16" s="58">
        <f>VLOOKUP(B16,Gorivo!$B$9:$C$23,2,FALSE)</f>
        <v>0</v>
      </c>
      <c r="E16" s="59" t="str">
        <f t="shared" si="0"/>
        <v/>
      </c>
      <c r="F16" s="55"/>
      <c r="G16" s="55"/>
      <c r="H16" s="55"/>
      <c r="I16" s="55"/>
    </row>
    <row r="17" spans="1:9" x14ac:dyDescent="0.25">
      <c r="A17" s="55"/>
      <c r="B17" s="56" t="s">
        <v>204</v>
      </c>
      <c r="C17" s="57"/>
      <c r="D17" s="58">
        <f>VLOOKUP(B17,Gorivo!$B$9:$C$23,2,FALSE)</f>
        <v>0</v>
      </c>
      <c r="E17" s="59" t="str">
        <f t="shared" si="0"/>
        <v/>
      </c>
      <c r="F17" s="55"/>
      <c r="G17" s="55"/>
      <c r="H17" s="55"/>
      <c r="I17" s="55"/>
    </row>
    <row r="18" spans="1:9" x14ac:dyDescent="0.25">
      <c r="A18" s="55"/>
      <c r="B18" s="21" t="s">
        <v>81</v>
      </c>
      <c r="C18" s="59">
        <f>SUM(C12:C17)</f>
        <v>93000</v>
      </c>
      <c r="D18" s="58"/>
      <c r="E18" s="59">
        <f>SUM(E12:E17)</f>
        <v>17724</v>
      </c>
      <c r="F18" s="55"/>
      <c r="G18" s="55"/>
      <c r="H18" s="55"/>
      <c r="I18" s="55"/>
    </row>
    <row r="19" spans="1:9" x14ac:dyDescent="0.25">
      <c r="A19" s="55"/>
      <c r="B19" s="55"/>
      <c r="C19" s="55"/>
      <c r="D19" s="55"/>
      <c r="E19" s="55"/>
      <c r="F19" s="55"/>
      <c r="G19" s="55"/>
      <c r="H19" s="55"/>
      <c r="I19" s="55"/>
    </row>
    <row r="20" spans="1:9" ht="18" customHeight="1" x14ac:dyDescent="0.35">
      <c r="A20" s="55"/>
      <c r="B20" s="69" t="s">
        <v>205</v>
      </c>
      <c r="C20" s="69"/>
      <c r="D20" s="69"/>
      <c r="E20" s="54" t="s">
        <v>206</v>
      </c>
      <c r="F20" s="55"/>
      <c r="G20" s="55"/>
      <c r="H20" s="55"/>
      <c r="I20" s="55"/>
    </row>
    <row r="21" spans="1:9" x14ac:dyDescent="0.25">
      <c r="A21" s="55"/>
      <c r="B21" s="69"/>
      <c r="C21" s="69"/>
      <c r="D21" s="69"/>
      <c r="E21" s="60">
        <f>E18/C18</f>
        <v>0.19058064516129034</v>
      </c>
      <c r="F21" s="55"/>
      <c r="G21" s="55"/>
      <c r="H21" s="55"/>
      <c r="I21" s="55"/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Gorivo!$B$9:$B$23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0"/>
  <sheetViews>
    <sheetView topLeftCell="A13" workbookViewId="0">
      <selection activeCell="K34" sqref="K34"/>
    </sheetView>
  </sheetViews>
  <sheetFormatPr defaultRowHeight="15" x14ac:dyDescent="0.25"/>
  <cols>
    <col min="3" max="3" width="36.42578125" customWidth="1"/>
    <col min="8" max="8" width="10.28515625" customWidth="1"/>
    <col min="11" max="11" width="11.7109375" bestFit="1" customWidth="1"/>
    <col min="14" max="14" width="10.140625" customWidth="1"/>
  </cols>
  <sheetData>
    <row r="3" spans="2:15" ht="16.5" x14ac:dyDescent="0.35">
      <c r="D3" s="62" t="s">
        <v>190</v>
      </c>
      <c r="E3" s="62"/>
      <c r="F3" s="62"/>
      <c r="G3" s="62"/>
    </row>
    <row r="7" spans="2:15" ht="15" customHeight="1" x14ac:dyDescent="0.25">
      <c r="B7" s="17" t="s">
        <v>35</v>
      </c>
      <c r="C7" t="s">
        <v>34</v>
      </c>
      <c r="F7">
        <v>1</v>
      </c>
      <c r="H7" s="21" t="s">
        <v>10</v>
      </c>
      <c r="I7" t="s">
        <v>52</v>
      </c>
      <c r="N7" s="21" t="s">
        <v>3</v>
      </c>
      <c r="O7" t="s">
        <v>4</v>
      </c>
    </row>
    <row r="8" spans="2:15" x14ac:dyDescent="0.25">
      <c r="C8" t="s">
        <v>36</v>
      </c>
      <c r="F8">
        <v>2</v>
      </c>
      <c r="I8" t="s">
        <v>53</v>
      </c>
      <c r="O8" t="s">
        <v>5</v>
      </c>
    </row>
    <row r="9" spans="2:15" x14ac:dyDescent="0.25">
      <c r="C9" t="s">
        <v>37</v>
      </c>
      <c r="F9">
        <v>3</v>
      </c>
      <c r="I9" t="s">
        <v>54</v>
      </c>
      <c r="O9" t="s">
        <v>6</v>
      </c>
    </row>
    <row r="10" spans="2:15" x14ac:dyDescent="0.25">
      <c r="C10" t="s">
        <v>38</v>
      </c>
      <c r="F10">
        <v>4</v>
      </c>
      <c r="I10" t="s">
        <v>55</v>
      </c>
      <c r="O10" t="s">
        <v>7</v>
      </c>
    </row>
    <row r="11" spans="2:15" x14ac:dyDescent="0.25">
      <c r="C11" t="s">
        <v>39</v>
      </c>
      <c r="F11">
        <v>5</v>
      </c>
      <c r="I11" t="s">
        <v>56</v>
      </c>
      <c r="O11" t="s">
        <v>8</v>
      </c>
    </row>
    <row r="12" spans="2:15" x14ac:dyDescent="0.25">
      <c r="C12" t="s">
        <v>40</v>
      </c>
      <c r="F12">
        <v>6</v>
      </c>
      <c r="I12" t="s">
        <v>57</v>
      </c>
    </row>
    <row r="13" spans="2:15" x14ac:dyDescent="0.25">
      <c r="C13" t="s">
        <v>41</v>
      </c>
      <c r="F13">
        <v>7</v>
      </c>
      <c r="I13" t="s">
        <v>58</v>
      </c>
    </row>
    <row r="14" spans="2:15" x14ac:dyDescent="0.25">
      <c r="C14" t="s">
        <v>42</v>
      </c>
      <c r="F14">
        <v>8</v>
      </c>
      <c r="I14" t="s">
        <v>59</v>
      </c>
    </row>
    <row r="15" spans="2:15" x14ac:dyDescent="0.25">
      <c r="C15" t="s">
        <v>43</v>
      </c>
      <c r="F15">
        <v>9</v>
      </c>
      <c r="H15" s="12"/>
      <c r="I15" t="s">
        <v>60</v>
      </c>
      <c r="N15" s="21" t="s">
        <v>9</v>
      </c>
      <c r="O15" t="s">
        <v>65</v>
      </c>
    </row>
    <row r="16" spans="2:15" x14ac:dyDescent="0.25">
      <c r="C16" t="s">
        <v>44</v>
      </c>
      <c r="F16">
        <v>10</v>
      </c>
      <c r="H16" s="12"/>
      <c r="I16" t="s">
        <v>63</v>
      </c>
      <c r="O16" t="s">
        <v>66</v>
      </c>
    </row>
    <row r="17" spans="3:17" x14ac:dyDescent="0.25">
      <c r="C17" t="s">
        <v>45</v>
      </c>
      <c r="F17">
        <v>11</v>
      </c>
      <c r="I17" t="s">
        <v>62</v>
      </c>
      <c r="O17" t="s">
        <v>67</v>
      </c>
    </row>
    <row r="18" spans="3:17" x14ac:dyDescent="0.25">
      <c r="C18" t="s">
        <v>46</v>
      </c>
      <c r="F18">
        <v>12</v>
      </c>
      <c r="I18" t="s">
        <v>11</v>
      </c>
      <c r="O18" t="s">
        <v>68</v>
      </c>
    </row>
    <row r="19" spans="3:17" ht="18" x14ac:dyDescent="0.35">
      <c r="C19" t="s">
        <v>47</v>
      </c>
      <c r="F19">
        <v>13</v>
      </c>
      <c r="I19" t="s">
        <v>64</v>
      </c>
      <c r="O19" t="s">
        <v>69</v>
      </c>
    </row>
    <row r="20" spans="3:17" x14ac:dyDescent="0.25">
      <c r="C20" t="s">
        <v>48</v>
      </c>
      <c r="F20">
        <v>14</v>
      </c>
      <c r="I20" t="s">
        <v>61</v>
      </c>
    </row>
    <row r="21" spans="3:17" ht="18" x14ac:dyDescent="0.35">
      <c r="C21" t="s">
        <v>49</v>
      </c>
      <c r="F21">
        <v>15</v>
      </c>
      <c r="N21" s="21" t="s">
        <v>11</v>
      </c>
      <c r="O21" t="s">
        <v>70</v>
      </c>
    </row>
    <row r="22" spans="3:17" x14ac:dyDescent="0.25">
      <c r="C22" t="s">
        <v>50</v>
      </c>
      <c r="F22">
        <v>16</v>
      </c>
      <c r="O22" t="s">
        <v>71</v>
      </c>
    </row>
    <row r="23" spans="3:17" x14ac:dyDescent="0.25">
      <c r="C23" t="s">
        <v>51</v>
      </c>
      <c r="F23">
        <v>17</v>
      </c>
      <c r="H23" s="72" t="s">
        <v>154</v>
      </c>
      <c r="I23" s="72"/>
      <c r="J23" s="72"/>
      <c r="O23" t="s">
        <v>72</v>
      </c>
    </row>
    <row r="24" spans="3:17" x14ac:dyDescent="0.25">
      <c r="C24" t="s">
        <v>128</v>
      </c>
      <c r="F24">
        <v>18</v>
      </c>
      <c r="I24" t="s">
        <v>155</v>
      </c>
      <c r="K24" s="3">
        <f>+SUM(UnosPodataka!F25:F29)</f>
        <v>1560000</v>
      </c>
      <c r="L24" s="20">
        <v>0</v>
      </c>
      <c r="O24" t="s">
        <v>73</v>
      </c>
    </row>
    <row r="25" spans="3:17" x14ac:dyDescent="0.25">
      <c r="C25" s="16">
        <f>VLOOKUP(Pocetna!M13,C7:F23,4,FALSE)</f>
        <v>14</v>
      </c>
      <c r="I25" t="s">
        <v>156</v>
      </c>
      <c r="K25" s="3">
        <f>+Loan</f>
        <v>1575000</v>
      </c>
      <c r="L25" s="20">
        <f>+UnosPodataka!M23</f>
        <v>0.12</v>
      </c>
      <c r="O25" t="s">
        <v>75</v>
      </c>
    </row>
    <row r="26" spans="3:17" x14ac:dyDescent="0.25">
      <c r="C26" s="11"/>
      <c r="I26" t="s">
        <v>157</v>
      </c>
      <c r="K26" s="3">
        <f>+Equity</f>
        <v>100000</v>
      </c>
      <c r="L26" s="7">
        <f>+UnosPodataka!M24</f>
        <v>5.8299999999999998E-2</v>
      </c>
      <c r="O26" t="s">
        <v>74</v>
      </c>
    </row>
    <row r="27" spans="3:17" x14ac:dyDescent="0.25">
      <c r="J27" t="s">
        <v>158</v>
      </c>
      <c r="K27" s="3">
        <f>+SUM(K24:K26)</f>
        <v>3235000</v>
      </c>
      <c r="L27" s="7">
        <f>+(K24*L24+K25*L25+K26*L26)/K27</f>
        <v>6.0225656877897993E-2</v>
      </c>
      <c r="O27" t="s">
        <v>153</v>
      </c>
    </row>
    <row r="29" spans="3:17" x14ac:dyDescent="0.25">
      <c r="N29" s="21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218</v>
      </c>
      <c r="Q34" s="3">
        <v>0.49</v>
      </c>
    </row>
    <row r="35" spans="15:17" x14ac:dyDescent="0.25">
      <c r="O35" t="s">
        <v>21</v>
      </c>
      <c r="Q35" s="3">
        <v>4.9000000000000002E-2</v>
      </c>
    </row>
    <row r="36" spans="15:17" x14ac:dyDescent="0.25">
      <c r="O36" t="s">
        <v>18</v>
      </c>
      <c r="Q36" s="3">
        <v>0.4</v>
      </c>
    </row>
    <row r="37" spans="15:17" x14ac:dyDescent="0.25">
      <c r="O37" t="s">
        <v>19</v>
      </c>
      <c r="Q37" s="3">
        <v>0.33</v>
      </c>
    </row>
    <row r="38" spans="15:17" x14ac:dyDescent="0.25">
      <c r="O38" t="s">
        <v>20</v>
      </c>
      <c r="Q38" s="3">
        <v>0</v>
      </c>
    </row>
    <row r="39" spans="15:17" x14ac:dyDescent="0.25">
      <c r="O39" t="s">
        <v>142</v>
      </c>
      <c r="Q39" s="8">
        <f>SUM(KonvFaktor!E21)</f>
        <v>0.19058064516129034</v>
      </c>
    </row>
    <row r="40" spans="15:17" x14ac:dyDescent="0.25">
      <c r="O40" t="s">
        <v>192</v>
      </c>
      <c r="Q40" s="3">
        <v>0.22</v>
      </c>
    </row>
  </sheetData>
  <sheetProtection selectLockedCells="1"/>
  <mergeCells count="2">
    <mergeCell ref="H23:J23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U34"/>
  <sheetViews>
    <sheetView workbookViewId="0">
      <selection activeCell="O21" sqref="O21"/>
    </sheetView>
  </sheetViews>
  <sheetFormatPr defaultRowHeight="15" x14ac:dyDescent="0.25"/>
  <cols>
    <col min="5" max="5" width="23.42578125" customWidth="1"/>
    <col min="6" max="6" width="15.28515625" customWidth="1"/>
    <col min="7" max="7" width="9.140625" hidden="1" customWidth="1"/>
    <col min="12" max="12" width="19.85546875" customWidth="1"/>
    <col min="13" max="13" width="14" customWidth="1"/>
  </cols>
  <sheetData>
    <row r="3" spans="2:17" ht="16.5" x14ac:dyDescent="0.35">
      <c r="H3" s="62" t="s">
        <v>190</v>
      </c>
      <c r="I3" s="62"/>
      <c r="J3" s="62"/>
      <c r="K3" s="62"/>
    </row>
    <row r="7" spans="2:17" x14ac:dyDescent="0.25">
      <c r="B7" s="75" t="s">
        <v>76</v>
      </c>
      <c r="C7" s="75"/>
      <c r="D7" s="75"/>
      <c r="E7" s="75"/>
      <c r="F7" s="1" t="s">
        <v>1</v>
      </c>
      <c r="I7" s="74" t="s">
        <v>76</v>
      </c>
      <c r="J7" s="74"/>
      <c r="K7" s="74"/>
      <c r="L7" s="74"/>
      <c r="M7" s="2" t="s">
        <v>22</v>
      </c>
    </row>
    <row r="8" spans="2:17" x14ac:dyDescent="0.25">
      <c r="P8" s="68" t="s">
        <v>130</v>
      </c>
      <c r="Q8" s="68"/>
    </row>
    <row r="9" spans="2:17" x14ac:dyDescent="0.25">
      <c r="B9" s="73" t="s">
        <v>53</v>
      </c>
      <c r="C9" s="73"/>
      <c r="D9" s="73"/>
      <c r="E9" s="73"/>
      <c r="F9" s="9">
        <v>170000</v>
      </c>
      <c r="G9" s="29">
        <f t="shared" ref="G9:G23" si="0">+F9/Investment</f>
        <v>5.2550231839258117E-2</v>
      </c>
      <c r="I9" s="73" t="s">
        <v>65</v>
      </c>
      <c r="J9" s="73"/>
      <c r="K9" s="73"/>
      <c r="L9" s="73"/>
      <c r="M9" s="9">
        <v>2800</v>
      </c>
      <c r="P9" s="68"/>
      <c r="Q9" s="68"/>
    </row>
    <row r="10" spans="2:17" x14ac:dyDescent="0.25">
      <c r="B10" s="73" t="s">
        <v>53</v>
      </c>
      <c r="C10" s="73"/>
      <c r="D10" s="73"/>
      <c r="E10" s="73"/>
      <c r="F10" s="9">
        <v>50000</v>
      </c>
      <c r="G10" s="29">
        <f t="shared" si="0"/>
        <v>1.5455950540958269E-2</v>
      </c>
      <c r="I10" s="73" t="s">
        <v>66</v>
      </c>
      <c r="J10" s="73"/>
      <c r="K10" s="73"/>
      <c r="L10" s="73"/>
      <c r="M10" s="7">
        <v>1</v>
      </c>
    </row>
    <row r="11" spans="2:17" x14ac:dyDescent="0.25">
      <c r="B11" s="73" t="s">
        <v>54</v>
      </c>
      <c r="C11" s="73"/>
      <c r="D11" s="73"/>
      <c r="E11" s="73"/>
      <c r="F11" s="9">
        <v>1550000</v>
      </c>
      <c r="G11" s="29">
        <f t="shared" si="0"/>
        <v>0.47913446676970634</v>
      </c>
      <c r="I11" s="73" t="s">
        <v>67</v>
      </c>
      <c r="J11" s="73"/>
      <c r="K11" s="73"/>
      <c r="L11" s="73"/>
      <c r="M11" s="24">
        <v>1.4999999999999999E-2</v>
      </c>
      <c r="P11" s="66" t="s">
        <v>129</v>
      </c>
      <c r="Q11" s="66"/>
    </row>
    <row r="12" spans="2:17" x14ac:dyDescent="0.25">
      <c r="B12" s="73" t="s">
        <v>55</v>
      </c>
      <c r="C12" s="73"/>
      <c r="D12" s="73"/>
      <c r="E12" s="73"/>
      <c r="F12" s="9">
        <v>220000</v>
      </c>
      <c r="G12" s="29">
        <f t="shared" si="0"/>
        <v>6.8006182380216385E-2</v>
      </c>
      <c r="I12" s="73" t="s">
        <v>68</v>
      </c>
      <c r="J12" s="73"/>
      <c r="K12" s="73"/>
      <c r="L12" s="73"/>
      <c r="M12" s="24">
        <v>0.1</v>
      </c>
      <c r="P12" s="66"/>
      <c r="Q12" s="66"/>
    </row>
    <row r="13" spans="2:17" x14ac:dyDescent="0.25">
      <c r="B13" s="73" t="s">
        <v>56</v>
      </c>
      <c r="C13" s="73"/>
      <c r="D13" s="73"/>
      <c r="E13" s="73"/>
      <c r="F13" s="9">
        <v>250000</v>
      </c>
      <c r="G13" s="29">
        <f t="shared" si="0"/>
        <v>7.7279752704791344E-2</v>
      </c>
      <c r="I13" s="73" t="s">
        <v>77</v>
      </c>
      <c r="J13" s="73"/>
      <c r="K13" s="73"/>
      <c r="L13" s="73"/>
      <c r="M13" s="25">
        <v>97.44</v>
      </c>
      <c r="O13" s="36"/>
    </row>
    <row r="14" spans="2:17" x14ac:dyDescent="0.25">
      <c r="B14" s="73" t="s">
        <v>57</v>
      </c>
      <c r="C14" s="73"/>
      <c r="D14" s="73"/>
      <c r="E14" s="73"/>
      <c r="F14" s="9">
        <v>200000</v>
      </c>
      <c r="G14" s="29">
        <f t="shared" si="0"/>
        <v>6.1823802163833076E-2</v>
      </c>
      <c r="I14" s="22"/>
      <c r="J14" s="22"/>
      <c r="K14" s="22"/>
      <c r="L14" s="22"/>
      <c r="M14" s="8"/>
    </row>
    <row r="15" spans="2:17" x14ac:dyDescent="0.25">
      <c r="B15" s="73" t="s">
        <v>58</v>
      </c>
      <c r="C15" s="73"/>
      <c r="D15" s="73"/>
      <c r="E15" s="73"/>
      <c r="F15" s="9">
        <v>100000</v>
      </c>
      <c r="G15" s="29">
        <f t="shared" si="0"/>
        <v>3.0911901081916538E-2</v>
      </c>
      <c r="I15" s="22"/>
      <c r="J15" s="22"/>
      <c r="K15" s="22"/>
      <c r="L15" s="22"/>
      <c r="M15" s="8"/>
    </row>
    <row r="16" spans="2:17" x14ac:dyDescent="0.25">
      <c r="B16" s="73" t="s">
        <v>58</v>
      </c>
      <c r="C16" s="73"/>
      <c r="D16" s="73"/>
      <c r="E16" s="73"/>
      <c r="F16" s="9">
        <v>120000</v>
      </c>
      <c r="G16" s="29">
        <f t="shared" si="0"/>
        <v>3.7094281298299843E-2</v>
      </c>
      <c r="I16" s="22"/>
      <c r="J16" s="22"/>
      <c r="K16" s="22"/>
      <c r="L16" s="22"/>
      <c r="M16" s="8"/>
    </row>
    <row r="17" spans="2:21" x14ac:dyDescent="0.25">
      <c r="B17" s="73" t="s">
        <v>60</v>
      </c>
      <c r="C17" s="73"/>
      <c r="D17" s="73"/>
      <c r="E17" s="73"/>
      <c r="F17" s="9">
        <v>220000</v>
      </c>
      <c r="G17" s="29">
        <f t="shared" si="0"/>
        <v>6.8006182380216385E-2</v>
      </c>
      <c r="I17" s="22"/>
      <c r="J17" s="22"/>
      <c r="K17" s="22"/>
      <c r="L17" s="22"/>
      <c r="M17" s="8"/>
    </row>
    <row r="18" spans="2:21" x14ac:dyDescent="0.25">
      <c r="B18" s="73" t="s">
        <v>63</v>
      </c>
      <c r="C18" s="73"/>
      <c r="D18" s="73"/>
      <c r="E18" s="73"/>
      <c r="F18" s="9">
        <v>200000</v>
      </c>
      <c r="G18" s="29">
        <f t="shared" si="0"/>
        <v>6.1823802163833076E-2</v>
      </c>
      <c r="I18" s="22"/>
      <c r="J18" s="22"/>
      <c r="K18" s="22"/>
      <c r="L18" s="22"/>
      <c r="M18" s="8"/>
    </row>
    <row r="19" spans="2:21" x14ac:dyDescent="0.25">
      <c r="B19" s="73" t="s">
        <v>62</v>
      </c>
      <c r="C19" s="73"/>
      <c r="D19" s="73"/>
      <c r="E19" s="73"/>
      <c r="F19" s="9">
        <v>45000</v>
      </c>
      <c r="G19" s="29">
        <f t="shared" si="0"/>
        <v>1.3910355486862442E-2</v>
      </c>
      <c r="I19" s="22"/>
      <c r="J19" s="22"/>
      <c r="K19" s="22"/>
      <c r="L19" s="22"/>
      <c r="M19" s="8"/>
    </row>
    <row r="20" spans="2:21" x14ac:dyDescent="0.25">
      <c r="B20" s="73" t="s">
        <v>11</v>
      </c>
      <c r="C20" s="73"/>
      <c r="D20" s="73"/>
      <c r="E20" s="73"/>
      <c r="F20" s="9">
        <v>50000</v>
      </c>
      <c r="G20" s="29">
        <f t="shared" si="0"/>
        <v>1.5455950540958269E-2</v>
      </c>
      <c r="I20" s="22"/>
      <c r="J20" s="22"/>
      <c r="K20" s="22"/>
      <c r="L20" s="22"/>
      <c r="M20" s="8"/>
    </row>
    <row r="21" spans="2:21" x14ac:dyDescent="0.25">
      <c r="B21" s="73" t="s">
        <v>64</v>
      </c>
      <c r="C21" s="73"/>
      <c r="D21" s="73"/>
      <c r="E21" s="73"/>
      <c r="F21" s="9">
        <v>30000</v>
      </c>
      <c r="G21" s="29">
        <f t="shared" si="0"/>
        <v>9.2735703245749607E-3</v>
      </c>
      <c r="I21" s="67"/>
      <c r="J21" s="67"/>
      <c r="K21" s="67"/>
      <c r="L21" s="67"/>
      <c r="M21" s="7"/>
    </row>
    <row r="22" spans="2:21" x14ac:dyDescent="0.25">
      <c r="B22" s="73" t="s">
        <v>61</v>
      </c>
      <c r="C22" s="73"/>
      <c r="D22" s="73"/>
      <c r="E22" s="73"/>
      <c r="F22" s="9">
        <v>30000</v>
      </c>
      <c r="G22" s="29">
        <f t="shared" si="0"/>
        <v>9.2735703245749607E-3</v>
      </c>
      <c r="I22" s="73" t="s">
        <v>73</v>
      </c>
      <c r="J22" s="73"/>
      <c r="K22" s="73"/>
      <c r="L22" s="73"/>
      <c r="M22" s="24">
        <v>0.06</v>
      </c>
      <c r="R22" s="73"/>
      <c r="S22" s="73"/>
      <c r="T22" s="73"/>
      <c r="U22" s="73"/>
    </row>
    <row r="23" spans="2:21" x14ac:dyDescent="0.25">
      <c r="E23" s="4" t="s">
        <v>79</v>
      </c>
      <c r="F23" s="3">
        <f>SUM(F9:F22)</f>
        <v>3235000</v>
      </c>
      <c r="G23" s="30">
        <f t="shared" si="0"/>
        <v>1</v>
      </c>
      <c r="I23" s="73" t="s">
        <v>75</v>
      </c>
      <c r="J23" s="73"/>
      <c r="K23" s="73"/>
      <c r="L23" s="73"/>
      <c r="M23" s="7">
        <v>0.12</v>
      </c>
      <c r="R23" s="73"/>
      <c r="S23" s="73"/>
      <c r="T23" s="73"/>
      <c r="U23" s="73"/>
    </row>
    <row r="24" spans="2:21" x14ac:dyDescent="0.25">
      <c r="E24" s="4" t="s">
        <v>80</v>
      </c>
      <c r="F24" s="3">
        <f>F23*(1+PDV)</f>
        <v>3882000</v>
      </c>
      <c r="I24" s="73" t="s">
        <v>153</v>
      </c>
      <c r="J24" s="73"/>
      <c r="K24" s="73"/>
      <c r="L24" s="73"/>
      <c r="M24" s="7">
        <v>5.8299999999999998E-2</v>
      </c>
      <c r="R24" s="73"/>
      <c r="S24" s="73"/>
      <c r="T24" s="73"/>
      <c r="U24" s="73"/>
    </row>
    <row r="25" spans="2:21" x14ac:dyDescent="0.25">
      <c r="B25" s="73" t="s">
        <v>5</v>
      </c>
      <c r="C25" s="73"/>
      <c r="D25" s="73"/>
      <c r="E25" s="73"/>
      <c r="F25" s="3">
        <v>600000</v>
      </c>
      <c r="G25" s="29">
        <f>+F25/Investment</f>
        <v>0.18547140649149924</v>
      </c>
      <c r="I25" s="73" t="s">
        <v>71</v>
      </c>
      <c r="J25" s="73"/>
      <c r="K25" s="73"/>
      <c r="L25" s="73"/>
      <c r="M25" s="26">
        <v>15</v>
      </c>
      <c r="R25" s="73"/>
      <c r="S25" s="73"/>
      <c r="T25" s="73"/>
      <c r="U25" s="73"/>
    </row>
    <row r="26" spans="2:21" x14ac:dyDescent="0.25">
      <c r="B26" s="73" t="s">
        <v>6</v>
      </c>
      <c r="C26" s="73"/>
      <c r="D26" s="73"/>
      <c r="E26" s="73"/>
      <c r="F26" s="3">
        <v>960000</v>
      </c>
      <c r="G26" s="29">
        <f>+F26/Investment</f>
        <v>0.29675425038639874</v>
      </c>
      <c r="I26" s="73" t="s">
        <v>74</v>
      </c>
      <c r="J26" s="73"/>
      <c r="K26" s="73"/>
      <c r="L26" s="73"/>
      <c r="M26" s="28" t="s">
        <v>142</v>
      </c>
      <c r="R26" s="73"/>
      <c r="S26" s="73"/>
      <c r="T26" s="73"/>
      <c r="U26" s="73"/>
    </row>
    <row r="27" spans="2:21" x14ac:dyDescent="0.25">
      <c r="B27" s="73"/>
      <c r="C27" s="73"/>
      <c r="D27" s="73"/>
      <c r="E27" s="73"/>
      <c r="F27" s="3"/>
      <c r="I27" s="73" t="s">
        <v>78</v>
      </c>
      <c r="J27" s="73"/>
      <c r="K27" s="73"/>
      <c r="L27" s="73"/>
      <c r="M27" s="3">
        <f>VLOOKUP(M26,PomTab1!O29:Q39,3,FALSE)</f>
        <v>0.19058064516129034</v>
      </c>
      <c r="R27" s="73"/>
      <c r="S27" s="73"/>
      <c r="T27" s="73"/>
      <c r="U27" s="73"/>
    </row>
    <row r="28" spans="2:21" x14ac:dyDescent="0.25">
      <c r="B28" s="73"/>
      <c r="C28" s="73"/>
      <c r="D28" s="73"/>
      <c r="E28" s="73"/>
      <c r="I28" s="73" t="s">
        <v>72</v>
      </c>
      <c r="J28" s="73"/>
      <c r="K28" s="73"/>
      <c r="L28" s="73"/>
      <c r="M28" s="10">
        <v>20</v>
      </c>
      <c r="R28" s="73"/>
      <c r="S28" s="73"/>
      <c r="T28" s="73"/>
      <c r="U28" s="73"/>
    </row>
    <row r="29" spans="2:21" x14ac:dyDescent="0.25">
      <c r="B29" s="73"/>
      <c r="C29" s="73"/>
      <c r="D29" s="73"/>
      <c r="E29" s="73"/>
      <c r="I29" s="73"/>
      <c r="J29" s="73"/>
      <c r="K29" s="73"/>
      <c r="L29" s="73"/>
    </row>
    <row r="30" spans="2:21" x14ac:dyDescent="0.25">
      <c r="B30" s="73" t="s">
        <v>104</v>
      </c>
      <c r="C30" s="73"/>
      <c r="D30" s="73"/>
      <c r="E30" s="73"/>
      <c r="F30" s="3">
        <v>100000</v>
      </c>
      <c r="G30" s="29">
        <f>+F30/Investment</f>
        <v>3.0911901081916538E-2</v>
      </c>
      <c r="I30" s="73"/>
      <c r="J30" s="73"/>
      <c r="K30" s="73"/>
      <c r="L30" s="73"/>
      <c r="M30" s="13"/>
    </row>
    <row r="31" spans="2:21" x14ac:dyDescent="0.25">
      <c r="E31" s="5" t="s">
        <v>81</v>
      </c>
      <c r="F31" s="3">
        <f>IF(SUM(F25:F30)&gt;F23,FALSE,SUM(F25:F30))</f>
        <v>1660000</v>
      </c>
      <c r="I31" s="73"/>
      <c r="J31" s="73"/>
      <c r="K31" s="73"/>
      <c r="L31" s="73"/>
      <c r="M31" s="3"/>
    </row>
    <row r="32" spans="2:21" x14ac:dyDescent="0.25">
      <c r="F32" s="3"/>
      <c r="M32" s="13"/>
    </row>
    <row r="33" spans="5:11" x14ac:dyDescent="0.25">
      <c r="E33" s="4" t="s">
        <v>82</v>
      </c>
      <c r="F33" s="3">
        <f>F23-F31</f>
        <v>1575000</v>
      </c>
      <c r="G33" s="29">
        <f>+F33/Investment</f>
        <v>0.48686244204018547</v>
      </c>
    </row>
    <row r="34" spans="5:11" x14ac:dyDescent="0.25">
      <c r="K34" s="36"/>
    </row>
  </sheetData>
  <sheetProtection selectLockedCells="1"/>
  <mergeCells count="48">
    <mergeCell ref="H3:K3"/>
    <mergeCell ref="P8:Q9"/>
    <mergeCell ref="P11:Q12"/>
    <mergeCell ref="B20:E20"/>
    <mergeCell ref="B16:E16"/>
    <mergeCell ref="B15:E15"/>
    <mergeCell ref="B14:E14"/>
    <mergeCell ref="I12:L12"/>
    <mergeCell ref="I13:L13"/>
    <mergeCell ref="I7:L7"/>
    <mergeCell ref="B12:E12"/>
    <mergeCell ref="B13:E13"/>
    <mergeCell ref="B7:E7"/>
    <mergeCell ref="B9:E9"/>
    <mergeCell ref="B10:E10"/>
    <mergeCell ref="B11:E11"/>
    <mergeCell ref="B29:E29"/>
    <mergeCell ref="B17:E17"/>
    <mergeCell ref="B19:E19"/>
    <mergeCell ref="B18:E18"/>
    <mergeCell ref="B30:E30"/>
    <mergeCell ref="B25:E25"/>
    <mergeCell ref="B26:E26"/>
    <mergeCell ref="B27:E27"/>
    <mergeCell ref="B28:E28"/>
    <mergeCell ref="B21:E21"/>
    <mergeCell ref="B22:E22"/>
    <mergeCell ref="I9:L9"/>
    <mergeCell ref="I10:L10"/>
    <mergeCell ref="I11:L11"/>
    <mergeCell ref="I22:L22"/>
    <mergeCell ref="I21:L21"/>
    <mergeCell ref="I29:L29"/>
    <mergeCell ref="I30:L30"/>
    <mergeCell ref="I31:L31"/>
    <mergeCell ref="I23:L23"/>
    <mergeCell ref="I24:L24"/>
    <mergeCell ref="I25:L25"/>
    <mergeCell ref="I26:L26"/>
    <mergeCell ref="I27:L27"/>
    <mergeCell ref="I28:L28"/>
    <mergeCell ref="R27:U27"/>
    <mergeCell ref="R28:U28"/>
    <mergeCell ref="R22:U22"/>
    <mergeCell ref="R23:U23"/>
    <mergeCell ref="R24:U24"/>
    <mergeCell ref="R25:U25"/>
    <mergeCell ref="R26:U26"/>
  </mergeCells>
  <dataValidations xWindow="1079" yWindow="416" count="16">
    <dataValidation type="whole" allowBlank="1" showInputMessage="1" showErrorMessage="1" errorTitle="Restriction" error="Ne može biti više od 1.000.000 EUR" promptTitle="COSTSN" prompt="Unesi planirane troškove grupe pozicija" sqref="F9:F10 F12:F22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7:F29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decimal" allowBlank="1" showInputMessage="1" showErrorMessage="1" errorTitle="Restriction" error="Iznos ne može biti veći od 7%" promptTitle="DA" prompt="Troškovi amortizacije prema računovodstvenim standardima - za toplinske pumpe ta stopa je 10%." sqref="M12">
      <formula1>0</formula1>
      <formula2>0.3</formula2>
    </dataValidation>
    <dataValidation type="whole" allowBlank="1" showInputMessage="1" showErrorMessage="1" errorTitle="Restriction" error="Iznos ne može biti veći od 110 EUR/t CO2" promptTitle="CO2TAX" prompt="Preporučuje se iznos 55 EUR/t CO2." sqref="M14:M20">
      <formula1>0</formula1>
      <formula2>110</formula2>
    </dataValidation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>
      <formula1>0</formula1>
      <formula2>0.1</formula2>
    </dataValidation>
    <dataValidation type="decimal"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">
      <formula1>0</formula1>
      <formula2>0.2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5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8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6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type="decimal" allowBlank="1" showInputMessage="1" showErrorMessage="1" errorTitle="Restriction" error="Nije dozvoljen iznos veći od 7.5%" promptTitle="PP" prompt="Prosečan prinos na sopstveni kapital (profitna stopa)prosečno je iznosila za toplane u Srbiji 5.,83%._x000a_" sqref="M24">
      <formula1>0</formula1>
      <formula2>0.2</formula2>
    </dataValidation>
  </dataValidations>
  <hyperlinks>
    <hyperlink ref="P8:Q9" location="EnergyCosts!B2" display="DALJE"/>
    <hyperlink ref="P11:Q12" location="Pocetna!M9" display="NAZAD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079" yWindow="416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B25:E29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PomTab1!$O$21:$O$26</xm:f>
          </x14:formula1>
          <xm:sqref>R27:U28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PomTab1!$O$21:$O$26</xm:f>
          </x14:formula1>
          <xm:sqref>R23:U23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I22:L28 R22:U22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PomTab1!$O$21:$O$26</xm:f>
          </x14:formula1>
          <xm:sqref>R24:U24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PomTab1!$O$21:$O$26</xm:f>
          </x14:formula1>
          <xm:sqref>R25:U26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PomTab1!$O$29:$O$39</xm:f>
          </x14:formula1>
          <xm:sqref>M26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PomTab1!$I$7:$I$20</xm:f>
          </x14:formula1>
          <xm:sqref>B9:B22 C9:E17 C19:E22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3:R23"/>
  <sheetViews>
    <sheetView workbookViewId="0">
      <selection activeCell="J12" sqref="J12"/>
    </sheetView>
  </sheetViews>
  <sheetFormatPr defaultRowHeight="15" x14ac:dyDescent="0.25"/>
  <cols>
    <col min="9" max="9" width="10.28515625" customWidth="1"/>
    <col min="10" max="10" width="14" customWidth="1"/>
    <col min="11" max="11" width="7.85546875" customWidth="1"/>
    <col min="12" max="12" width="14.28515625" customWidth="1"/>
  </cols>
  <sheetData>
    <row r="3" spans="2:18" ht="16.5" x14ac:dyDescent="0.35">
      <c r="H3" s="62" t="s">
        <v>190</v>
      </c>
      <c r="I3" s="62"/>
      <c r="J3" s="62"/>
      <c r="K3" s="62"/>
    </row>
    <row r="7" spans="2:18" ht="21" x14ac:dyDescent="0.35">
      <c r="B7" s="70" t="s">
        <v>83</v>
      </c>
      <c r="C7" s="70"/>
      <c r="D7" s="70"/>
      <c r="E7" s="70"/>
      <c r="F7" s="70"/>
      <c r="G7" s="70"/>
    </row>
    <row r="9" spans="2:18" x14ac:dyDescent="0.25">
      <c r="B9" s="73" t="s">
        <v>84</v>
      </c>
      <c r="C9" s="73"/>
      <c r="D9" s="73"/>
      <c r="E9" s="73"/>
      <c r="F9" s="73"/>
      <c r="G9" s="73"/>
      <c r="I9" s="6" t="s">
        <v>23</v>
      </c>
      <c r="J9" s="14">
        <f>J14*WHOUR</f>
        <v>21600</v>
      </c>
      <c r="N9" s="66" t="s">
        <v>129</v>
      </c>
      <c r="O9" s="66"/>
      <c r="Q9" s="68" t="s">
        <v>130</v>
      </c>
      <c r="R9" s="68"/>
    </row>
    <row r="10" spans="2:18" x14ac:dyDescent="0.25">
      <c r="B10" s="73" t="s">
        <v>85</v>
      </c>
      <c r="C10" s="73"/>
      <c r="D10" s="73"/>
      <c r="E10" s="73"/>
      <c r="F10" s="73"/>
      <c r="G10" s="73"/>
      <c r="I10" s="6" t="s">
        <v>29</v>
      </c>
      <c r="J10" s="14">
        <v>12080</v>
      </c>
      <c r="M10" s="36"/>
      <c r="N10" s="66"/>
      <c r="O10" s="66"/>
      <c r="Q10" s="68"/>
      <c r="R10" s="68"/>
    </row>
    <row r="11" spans="2:18" x14ac:dyDescent="0.25">
      <c r="B11" s="73" t="s">
        <v>86</v>
      </c>
      <c r="C11" s="73"/>
      <c r="D11" s="73"/>
      <c r="E11" s="73"/>
      <c r="F11" s="73"/>
      <c r="G11" s="73"/>
      <c r="I11" s="6" t="s">
        <v>29</v>
      </c>
      <c r="J11" s="14">
        <v>8900</v>
      </c>
      <c r="M11" s="36"/>
    </row>
    <row r="12" spans="2:18" x14ac:dyDescent="0.25">
      <c r="B12" s="73" t="s">
        <v>87</v>
      </c>
      <c r="C12" s="73"/>
      <c r="D12" s="73"/>
      <c r="E12" s="73"/>
      <c r="F12" s="73"/>
      <c r="G12" s="73"/>
      <c r="I12" s="6" t="s">
        <v>30</v>
      </c>
      <c r="J12" s="14">
        <v>4</v>
      </c>
      <c r="M12" s="36"/>
    </row>
    <row r="13" spans="2:18" x14ac:dyDescent="0.25">
      <c r="B13" s="73" t="s">
        <v>88</v>
      </c>
      <c r="C13" s="73"/>
      <c r="D13" s="73"/>
      <c r="E13" s="73"/>
      <c r="F13" s="73"/>
      <c r="G13" s="73"/>
      <c r="I13" s="6" t="s">
        <v>30</v>
      </c>
      <c r="J13" s="23">
        <v>0.9</v>
      </c>
    </row>
    <row r="14" spans="2:18" x14ac:dyDescent="0.25">
      <c r="B14" s="73" t="s">
        <v>89</v>
      </c>
      <c r="C14" s="73"/>
      <c r="D14" s="73"/>
      <c r="E14" s="73"/>
      <c r="F14" s="73"/>
      <c r="G14" s="73"/>
      <c r="I14" s="6" t="s">
        <v>31</v>
      </c>
      <c r="J14" s="14">
        <v>6</v>
      </c>
    </row>
    <row r="15" spans="2:18" x14ac:dyDescent="0.25">
      <c r="B15" s="73" t="s">
        <v>90</v>
      </c>
      <c r="C15" s="73"/>
      <c r="D15" s="73"/>
      <c r="E15" s="73"/>
      <c r="F15" s="73"/>
      <c r="G15" s="73"/>
      <c r="I15" s="6" t="s">
        <v>31</v>
      </c>
      <c r="J15" s="14">
        <v>0.1</v>
      </c>
    </row>
    <row r="16" spans="2:18" x14ac:dyDescent="0.25">
      <c r="B16" s="73" t="s">
        <v>91</v>
      </c>
      <c r="C16" s="73"/>
      <c r="D16" s="73"/>
      <c r="E16" s="73"/>
      <c r="F16" s="73"/>
      <c r="G16" s="73"/>
      <c r="I16" s="6" t="s">
        <v>30</v>
      </c>
      <c r="J16" s="14">
        <v>3600</v>
      </c>
    </row>
    <row r="17" spans="2:12" x14ac:dyDescent="0.25">
      <c r="B17" s="73" t="s">
        <v>92</v>
      </c>
      <c r="C17" s="73"/>
      <c r="D17" s="73"/>
      <c r="E17" s="73"/>
      <c r="F17" s="73"/>
      <c r="G17" s="73"/>
      <c r="I17" s="6" t="s">
        <v>23</v>
      </c>
      <c r="J17" s="14">
        <f>HEAT/eta</f>
        <v>5400</v>
      </c>
    </row>
    <row r="18" spans="2:12" x14ac:dyDescent="0.25">
      <c r="B18" s="73" t="s">
        <v>93</v>
      </c>
      <c r="C18" s="73"/>
      <c r="D18" s="73"/>
      <c r="E18" s="73"/>
      <c r="F18" s="73"/>
      <c r="G18" s="73"/>
      <c r="I18" s="6" t="s">
        <v>33</v>
      </c>
      <c r="J18" s="14">
        <v>180</v>
      </c>
    </row>
    <row r="19" spans="2:12" x14ac:dyDescent="0.25">
      <c r="B19" s="73" t="s">
        <v>94</v>
      </c>
      <c r="C19" s="73"/>
      <c r="D19" s="73"/>
      <c r="E19" s="73"/>
      <c r="F19" s="73"/>
      <c r="G19" s="73"/>
      <c r="I19" s="6" t="s">
        <v>32</v>
      </c>
      <c r="J19" s="14">
        <v>5</v>
      </c>
    </row>
    <row r="21" spans="2:12" ht="18" x14ac:dyDescent="0.35">
      <c r="B21" t="s">
        <v>95</v>
      </c>
      <c r="I21" s="65" t="s">
        <v>17</v>
      </c>
      <c r="J21" s="65"/>
    </row>
    <row r="22" spans="2:12" x14ac:dyDescent="0.25">
      <c r="B22" s="73" t="s">
        <v>96</v>
      </c>
      <c r="C22" s="73"/>
      <c r="D22" s="73"/>
      <c r="E22" s="73"/>
      <c r="L22" t="b">
        <v>1</v>
      </c>
    </row>
    <row r="23" spans="2:12" ht="18" x14ac:dyDescent="0.35">
      <c r="B23" t="s">
        <v>167</v>
      </c>
      <c r="J23" s="8">
        <v>0.8</v>
      </c>
      <c r="L23" s="6"/>
    </row>
  </sheetData>
  <sheetProtection selectLockedCells="1"/>
  <mergeCells count="17">
    <mergeCell ref="H3:K3"/>
    <mergeCell ref="N9:O10"/>
    <mergeCell ref="Q9:R10"/>
    <mergeCell ref="B7:G7"/>
    <mergeCell ref="B15:G15"/>
    <mergeCell ref="B9:G9"/>
    <mergeCell ref="B10:G10"/>
    <mergeCell ref="B11:G11"/>
    <mergeCell ref="B12:G12"/>
    <mergeCell ref="B13:G13"/>
    <mergeCell ref="B14:G14"/>
    <mergeCell ref="B22:E22"/>
    <mergeCell ref="I21:J21"/>
    <mergeCell ref="B16:G16"/>
    <mergeCell ref="B17:G17"/>
    <mergeCell ref="B18:G18"/>
    <mergeCell ref="B19:G19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/>
  </dataValidations>
  <hyperlinks>
    <hyperlink ref="N9:O10" location="UnosPodataka!O6" display="NAZAD"/>
    <hyperlink ref="Q9:R10" location="Annuity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21</xdr:row>
                    <xdr:rowOff>9525</xdr:rowOff>
                  </from>
                  <to>
                    <xdr:col>9</xdr:col>
                    <xdr:colOff>923925</xdr:colOff>
                    <xdr:row>22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PomTab1!$O$29:$O$39</xm:f>
          </x14:formula1>
          <xm:sqref>I21:J21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M32"/>
  <sheetViews>
    <sheetView workbookViewId="0">
      <selection activeCell="I22" sqref="I22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  <col min="7" max="7" width="10.85546875" customWidth="1"/>
  </cols>
  <sheetData>
    <row r="3" spans="2:13" ht="16.5" x14ac:dyDescent="0.35">
      <c r="D3" s="62" t="s">
        <v>190</v>
      </c>
      <c r="E3" s="62"/>
      <c r="F3" s="62"/>
      <c r="G3" s="62"/>
    </row>
    <row r="7" spans="2:13" ht="21" x14ac:dyDescent="0.35">
      <c r="B7" s="70" t="s">
        <v>97</v>
      </c>
      <c r="C7" s="70"/>
      <c r="D7" s="70"/>
      <c r="E7" s="70"/>
      <c r="F7" s="70"/>
      <c r="G7" s="70"/>
    </row>
    <row r="9" spans="2:13" x14ac:dyDescent="0.25">
      <c r="B9" t="s">
        <v>98</v>
      </c>
      <c r="D9" s="6" t="s">
        <v>1</v>
      </c>
      <c r="E9" s="15">
        <f>Loan</f>
        <v>1575000</v>
      </c>
      <c r="I9" s="66" t="s">
        <v>129</v>
      </c>
      <c r="J9" s="66"/>
      <c r="L9" s="68" t="s">
        <v>130</v>
      </c>
      <c r="M9" s="68"/>
    </row>
    <row r="10" spans="2:13" x14ac:dyDescent="0.25">
      <c r="I10" s="66"/>
      <c r="J10" s="66"/>
      <c r="L10" s="68"/>
      <c r="M10" s="68"/>
    </row>
    <row r="11" spans="2:13" x14ac:dyDescent="0.25">
      <c r="B11" s="16" t="s">
        <v>24</v>
      </c>
      <c r="C11" s="16" t="s">
        <v>99</v>
      </c>
      <c r="D11" s="16" t="s">
        <v>100</v>
      </c>
      <c r="E11" s="16" t="s">
        <v>101</v>
      </c>
    </row>
    <row r="13" spans="2:13" x14ac:dyDescent="0.25">
      <c r="B13">
        <v>1</v>
      </c>
      <c r="C13" s="3">
        <f>E9</f>
        <v>1575000</v>
      </c>
      <c r="D13" s="3">
        <f>IF(UnosPodataka!M23=0,"",UnosPodataka!$M$23*Annuity!$E$9)</f>
        <v>189000</v>
      </c>
      <c r="E13" s="3">
        <f>PMT(UnosPodataka!$M$23,UnosPodataka!$M$25,Annuity!$E$9)</f>
        <v>-231248.17744299548</v>
      </c>
      <c r="G13" s="3">
        <f>+E13+D13</f>
        <v>-42248.177442995482</v>
      </c>
    </row>
    <row r="14" spans="2:13" x14ac:dyDescent="0.25">
      <c r="B14">
        <f>IF(B13&lt;UnosPodataka!$M$25,B13+1,"")</f>
        <v>2</v>
      </c>
      <c r="C14" s="3">
        <f>IF(B14&lt;&gt;"",SUM(C13:E13),"")</f>
        <v>1532751.8225570046</v>
      </c>
      <c r="D14" s="3">
        <f>IF(B14&lt;&gt;"",C14*UnosPodataka!$M$23,"")</f>
        <v>183930.21870684056</v>
      </c>
      <c r="E14" s="3">
        <f>IF(B14&lt;&gt;"",PMT(UnosPodataka!$M$23,UnosPodataka!$M$25,Annuity!$E$9),"")</f>
        <v>-231248.17744299548</v>
      </c>
      <c r="G14" s="3">
        <f t="shared" ref="G14:G29" si="0">+E14+D14</f>
        <v>-47317.95873615492</v>
      </c>
    </row>
    <row r="15" spans="2:13" x14ac:dyDescent="0.25">
      <c r="B15">
        <f>IF(B14&lt;UnosPodataka!$M$25,B14+1,"")</f>
        <v>3</v>
      </c>
      <c r="C15" s="3">
        <f t="shared" ref="C15:C32" si="1">IF(B15&lt;&gt;"",SUM(C14:E14),"")</f>
        <v>1485433.8638208499</v>
      </c>
      <c r="D15" s="3">
        <f>IF(B15&lt;&gt;"",C15*UnosPodataka!$M$23,"")</f>
        <v>178252.06365850198</v>
      </c>
      <c r="E15" s="3">
        <f>IF(B15&lt;&gt;"",PMT(UnosPodataka!$M$23,UnosPodataka!$M$25,Annuity!$E$9),"")</f>
        <v>-231248.17744299548</v>
      </c>
      <c r="G15" s="3">
        <f t="shared" si="0"/>
        <v>-52996.1137844935</v>
      </c>
    </row>
    <row r="16" spans="2:13" x14ac:dyDescent="0.25">
      <c r="B16">
        <f>IF(B15&lt;UnosPodataka!$M$25,B15+1,"")</f>
        <v>4</v>
      </c>
      <c r="C16" s="3">
        <f t="shared" si="1"/>
        <v>1432437.7500363565</v>
      </c>
      <c r="D16" s="3">
        <f>IF(B16&lt;&gt;"",C16*UnosPodataka!$M$23,"")</f>
        <v>171892.53000436278</v>
      </c>
      <c r="E16" s="3">
        <f>IF(B16&lt;&gt;"",PMT(UnosPodataka!$M$23,UnosPodataka!$M$25,Annuity!$E$9),"")</f>
        <v>-231248.17744299548</v>
      </c>
      <c r="G16" s="3">
        <f t="shared" si="0"/>
        <v>-59355.647438632703</v>
      </c>
    </row>
    <row r="17" spans="2:7" x14ac:dyDescent="0.25">
      <c r="B17">
        <f>IF(B16&lt;UnosPodataka!$M$25,B16+1,"")</f>
        <v>5</v>
      </c>
      <c r="C17" s="3">
        <f t="shared" si="1"/>
        <v>1373082.1025977237</v>
      </c>
      <c r="D17" s="3">
        <f>IF(B17&lt;&gt;"",C17*UnosPodataka!$M$23,"")</f>
        <v>164769.85231172683</v>
      </c>
      <c r="E17" s="3">
        <f>IF(B17&lt;&gt;"",PMT(UnosPodataka!$M$23,UnosPodataka!$M$25,Annuity!$E$9),"")</f>
        <v>-231248.17744299548</v>
      </c>
      <c r="G17" s="3">
        <f t="shared" si="0"/>
        <v>-66478.325131268648</v>
      </c>
    </row>
    <row r="18" spans="2:7" x14ac:dyDescent="0.25">
      <c r="B18">
        <f>IF(B17&lt;UnosPodataka!$M$25,B17+1,"")</f>
        <v>6</v>
      </c>
      <c r="C18" s="3">
        <f t="shared" si="1"/>
        <v>1306603.777466455</v>
      </c>
      <c r="D18" s="3">
        <f>IF(B18&lt;&gt;"",C18*UnosPodataka!$M$23,"")</f>
        <v>156792.45329597458</v>
      </c>
      <c r="E18" s="3">
        <f>IF(B18&lt;&gt;"",PMT(UnosPodataka!$M$23,UnosPodataka!$M$25,Annuity!$E$9),"")</f>
        <v>-231248.17744299548</v>
      </c>
      <c r="G18" s="3">
        <f t="shared" si="0"/>
        <v>-74455.724147020897</v>
      </c>
    </row>
    <row r="19" spans="2:7" x14ac:dyDescent="0.25">
      <c r="B19">
        <f>IF(B18&lt;UnosPodataka!$M$25,B18+1,"")</f>
        <v>7</v>
      </c>
      <c r="C19" s="3">
        <f t="shared" si="1"/>
        <v>1232148.0533194342</v>
      </c>
      <c r="D19" s="3">
        <f>IF(B19&lt;&gt;"",C19*UnosPodataka!$M$23,"")</f>
        <v>147857.76639833208</v>
      </c>
      <c r="E19" s="3">
        <f>IF(B19&lt;&gt;"",PMT(UnosPodataka!$M$23,UnosPodataka!$M$25,Annuity!$E$9),"")</f>
        <v>-231248.17744299548</v>
      </c>
      <c r="G19" s="3">
        <f t="shared" si="0"/>
        <v>-83390.4110446634</v>
      </c>
    </row>
    <row r="20" spans="2:7" x14ac:dyDescent="0.25">
      <c r="B20">
        <f>IF(B19&lt;UnosPodataka!$M$25,B19+1,"")</f>
        <v>8</v>
      </c>
      <c r="C20" s="3">
        <f t="shared" si="1"/>
        <v>1148757.6422747709</v>
      </c>
      <c r="D20" s="3">
        <f>IF(B20&lt;&gt;"",C20*UnosPodataka!$M$23,"")</f>
        <v>137850.91707297252</v>
      </c>
      <c r="E20" s="3">
        <f>IF(B20&lt;&gt;"",PMT(UnosPodataka!$M$23,UnosPodataka!$M$25,Annuity!$E$9),"")</f>
        <v>-231248.17744299548</v>
      </c>
      <c r="G20" s="3">
        <f t="shared" si="0"/>
        <v>-93397.260370022967</v>
      </c>
    </row>
    <row r="21" spans="2:7" x14ac:dyDescent="0.25">
      <c r="B21">
        <f>IF(B20&lt;UnosPodataka!$M$25,B20+1,"")</f>
        <v>9</v>
      </c>
      <c r="C21" s="3">
        <f t="shared" si="1"/>
        <v>1055360.3819047478</v>
      </c>
      <c r="D21" s="3">
        <f>IF(B21&lt;&gt;"",C21*UnosPodataka!$M$23,"")</f>
        <v>126643.24582856974</v>
      </c>
      <c r="E21" s="3">
        <f>IF(B21&lt;&gt;"",PMT(UnosPodataka!$M$23,UnosPodataka!$M$25,Annuity!$E$9),"")</f>
        <v>-231248.17744299548</v>
      </c>
      <c r="G21" s="3">
        <f t="shared" si="0"/>
        <v>-104604.93161442575</v>
      </c>
    </row>
    <row r="22" spans="2:7" x14ac:dyDescent="0.25">
      <c r="B22">
        <f>IF(B21&lt;UnosPodataka!$M$25,B21+1,"")</f>
        <v>10</v>
      </c>
      <c r="C22" s="3">
        <f t="shared" si="1"/>
        <v>950755.45029032195</v>
      </c>
      <c r="D22" s="3">
        <f>IF(B22&lt;&gt;"",C22*UnosPodataka!$M$23,"")</f>
        <v>114090.65403483863</v>
      </c>
      <c r="E22" s="3">
        <f>IF(B22&lt;&gt;"",PMT(UnosPodataka!$M$23,UnosPodataka!$M$25,Annuity!$E$9),"")</f>
        <v>-231248.17744299548</v>
      </c>
      <c r="G22" s="3">
        <f t="shared" si="0"/>
        <v>-117157.52340815685</v>
      </c>
    </row>
    <row r="23" spans="2:7" x14ac:dyDescent="0.25">
      <c r="B23">
        <f>IF(B22&lt;UnosPodataka!$M$25,B22+1,"")</f>
        <v>11</v>
      </c>
      <c r="C23" s="3">
        <f t="shared" si="1"/>
        <v>833597.92688216513</v>
      </c>
      <c r="D23" s="3">
        <f>IF(B23&lt;&gt;"",C23*UnosPodataka!$M$23,"")</f>
        <v>100031.75122585981</v>
      </c>
      <c r="E23" s="3">
        <f>IF(B23&lt;&gt;"",PMT(UnosPodataka!$M$23,UnosPodataka!$M$25,Annuity!$E$9),"")</f>
        <v>-231248.17744299548</v>
      </c>
      <c r="G23" s="3">
        <f t="shared" si="0"/>
        <v>-131216.42621713568</v>
      </c>
    </row>
    <row r="24" spans="2:7" x14ac:dyDescent="0.25">
      <c r="B24">
        <f>IF(B23&lt;UnosPodataka!$M$25,B23+1,"")</f>
        <v>12</v>
      </c>
      <c r="C24" s="3">
        <f t="shared" si="1"/>
        <v>702381.50066502951</v>
      </c>
      <c r="D24" s="3">
        <f>IF(B24&lt;&gt;"",C24*UnosPodataka!$M$23,"")</f>
        <v>84285.780079803531</v>
      </c>
      <c r="E24" s="3">
        <f>IF(B24&lt;&gt;"",PMT(UnosPodataka!$M$23,UnosPodataka!$M$25,Annuity!$E$9),"")</f>
        <v>-231248.17744299548</v>
      </c>
      <c r="G24" s="3">
        <f t="shared" si="0"/>
        <v>-146962.39736319194</v>
      </c>
    </row>
    <row r="25" spans="2:7" x14ac:dyDescent="0.25">
      <c r="B25">
        <f>IF(B24&lt;UnosPodataka!$M$25,B24+1,"")</f>
        <v>13</v>
      </c>
      <c r="C25" s="3">
        <f t="shared" si="1"/>
        <v>555419.10330183757</v>
      </c>
      <c r="D25" s="3">
        <f>IF(B25&lt;&gt;"",C25*UnosPodataka!$M$23,"")</f>
        <v>66650.29239622051</v>
      </c>
      <c r="E25" s="3">
        <f>IF(B25&lt;&gt;"",PMT(UnosPodataka!$M$23,UnosPodataka!$M$25,Annuity!$E$9),"")</f>
        <v>-231248.17744299548</v>
      </c>
      <c r="G25" s="3">
        <f t="shared" si="0"/>
        <v>-164597.88504677499</v>
      </c>
    </row>
    <row r="26" spans="2:7" x14ac:dyDescent="0.25">
      <c r="B26">
        <f>IF(B25&lt;UnosPodataka!$M$25,B25+1,"")</f>
        <v>14</v>
      </c>
      <c r="C26" s="3">
        <f t="shared" si="1"/>
        <v>390821.21825506259</v>
      </c>
      <c r="D26" s="3">
        <f>IF(B26&lt;&gt;"",C26*UnosPodataka!$M$23,"")</f>
        <v>46898.546190607507</v>
      </c>
      <c r="E26" s="3">
        <f>IF(B26&lt;&gt;"",PMT(UnosPodataka!$M$23,UnosPodataka!$M$25,Annuity!$E$9),"")</f>
        <v>-231248.17744299548</v>
      </c>
      <c r="G26" s="3">
        <f t="shared" si="0"/>
        <v>-184349.63125238798</v>
      </c>
    </row>
    <row r="27" spans="2:7" x14ac:dyDescent="0.25">
      <c r="B27">
        <f>IF(B26&lt;UnosPodataka!$M$25,B26+1,"")</f>
        <v>15</v>
      </c>
      <c r="C27" s="3">
        <f t="shared" si="1"/>
        <v>206471.58700267458</v>
      </c>
      <c r="D27" s="3">
        <f>IF(B27&lt;&gt;"",C27*UnosPodataka!$M$23,"")</f>
        <v>24776.59044032095</v>
      </c>
      <c r="E27" s="3">
        <f>IF(B27&lt;&gt;"",PMT(UnosPodataka!$M$23,UnosPodataka!$M$25,Annuity!$E$9),"")</f>
        <v>-231248.17744299548</v>
      </c>
      <c r="G27" s="3">
        <f t="shared" si="0"/>
        <v>-206471.58700267453</v>
      </c>
    </row>
    <row r="28" spans="2:7" x14ac:dyDescent="0.25">
      <c r="B28" t="str">
        <f>IF(B27&lt;UnosPodataka!$M$25,B27+1,"")</f>
        <v/>
      </c>
      <c r="C28" s="3" t="str">
        <f t="shared" si="1"/>
        <v/>
      </c>
      <c r="D28" s="3" t="str">
        <f>IF(B28&lt;&gt;"",C28*UnosPodataka!$M$23,"")</f>
        <v/>
      </c>
      <c r="E28" s="3" t="str">
        <f>IF(B28&lt;&gt;"",PMT(UnosPodataka!$M$23,UnosPodataka!$M$25,Annuity!$E$9),"")</f>
        <v/>
      </c>
      <c r="G28" s="3" t="e">
        <f t="shared" si="0"/>
        <v>#VALUE!</v>
      </c>
    </row>
    <row r="29" spans="2:7" x14ac:dyDescent="0.25">
      <c r="B29" t="str">
        <f>IF(B28&lt;UnosPodataka!$M$25,B28+1,"")</f>
        <v/>
      </c>
      <c r="C29" s="3" t="str">
        <f t="shared" si="1"/>
        <v/>
      </c>
      <c r="D29" s="3" t="str">
        <f>IF(B29&lt;&gt;"",C29*UnosPodataka!$M$23,"")</f>
        <v/>
      </c>
      <c r="E29" s="3" t="str">
        <f>IF(B29&lt;&gt;"",PMT(UnosPodataka!$M$23,UnosPodataka!$M$25,Annuity!$E$9),"")</f>
        <v/>
      </c>
      <c r="G29" s="3" t="e">
        <f t="shared" si="0"/>
        <v>#VALUE!</v>
      </c>
    </row>
    <row r="30" spans="2:7" x14ac:dyDescent="0.25">
      <c r="B30" t="str">
        <f>IF(B29&lt;UnosPodataka!$M$25,B29+1,"")</f>
        <v/>
      </c>
      <c r="C30" s="3" t="str">
        <f t="shared" si="1"/>
        <v/>
      </c>
      <c r="D30" s="3" t="str">
        <f>IF(B30&lt;&gt;"",C30*UnosPodataka!$M$23,"")</f>
        <v/>
      </c>
      <c r="E30" s="3" t="str">
        <f>IF(B30&lt;&gt;"",PMT(UnosPodataka!$M$23,UnosPodataka!$M$25,Annuity!$E$9),"")</f>
        <v/>
      </c>
    </row>
    <row r="31" spans="2:7" x14ac:dyDescent="0.25">
      <c r="B31" t="str">
        <f>IF(B30&lt;UnosPodataka!$M$25,B30+1,"")</f>
        <v/>
      </c>
      <c r="C31" s="3" t="str">
        <f t="shared" si="1"/>
        <v/>
      </c>
      <c r="D31" s="3" t="str">
        <f>IF(B31&lt;&gt;"",C31*UnosPodataka!$M$23,"")</f>
        <v/>
      </c>
      <c r="E31" s="3" t="str">
        <f>IF(B31&lt;&gt;"",PMT(UnosPodataka!$M$23,UnosPodataka!$M$25,Annuity!$E$9),"")</f>
        <v/>
      </c>
    </row>
    <row r="32" spans="2:7" x14ac:dyDescent="0.25">
      <c r="B32" t="str">
        <f>IF(B31&lt;UnosPodataka!$M$25,B31+1,"")</f>
        <v/>
      </c>
      <c r="C32" s="3" t="str">
        <f t="shared" si="1"/>
        <v/>
      </c>
      <c r="D32" s="3" t="str">
        <f>IF(B32&lt;&gt;"",C32*UnosPodataka!$M$23,"")</f>
        <v/>
      </c>
      <c r="E32" s="3" t="str">
        <f>IF(B32&lt;&gt;"",PMT(UnosPodataka!$M$23,UnosPodataka!$M$25,Annuity!$E$9),"")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EnergyCosts!N4" display="NAZAD"/>
    <hyperlink ref="L9:M10" location="FinaIndicators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3:Z62"/>
  <sheetViews>
    <sheetView showZeros="0" topLeftCell="A7" zoomScaleNormal="100" workbookViewId="0">
      <selection activeCell="E38" sqref="E38"/>
    </sheetView>
  </sheetViews>
  <sheetFormatPr defaultRowHeight="15" x14ac:dyDescent="0.25"/>
  <cols>
    <col min="4" max="4" width="12.140625" customWidth="1"/>
    <col min="5" max="6" width="13.5703125" customWidth="1"/>
    <col min="7" max="7" width="14" customWidth="1"/>
    <col min="8" max="8" width="13.140625" customWidth="1"/>
    <col min="9" max="9" width="13.28515625" customWidth="1"/>
    <col min="10" max="10" width="13.5703125" customWidth="1"/>
    <col min="11" max="11" width="13" customWidth="1"/>
    <col min="12" max="12" width="13.85546875" customWidth="1"/>
    <col min="13" max="14" width="14.7109375" customWidth="1"/>
    <col min="15" max="15" width="14.140625" customWidth="1"/>
    <col min="16" max="16" width="13.85546875" customWidth="1"/>
    <col min="17" max="17" width="15" customWidth="1"/>
    <col min="18" max="18" width="14.140625" customWidth="1"/>
    <col min="19" max="20" width="14.5703125" customWidth="1"/>
    <col min="21" max="21" width="15.140625" customWidth="1"/>
    <col min="22" max="22" width="14.85546875" customWidth="1"/>
    <col min="23" max="23" width="14.7109375" customWidth="1"/>
    <col min="24" max="24" width="14.140625" customWidth="1"/>
    <col min="25" max="25" width="15" customWidth="1"/>
  </cols>
  <sheetData>
    <row r="3" spans="1:25" ht="16.5" x14ac:dyDescent="0.35">
      <c r="H3" s="62" t="s">
        <v>190</v>
      </c>
      <c r="I3" s="62"/>
      <c r="J3" s="62"/>
      <c r="K3" s="62"/>
    </row>
    <row r="7" spans="1:25" ht="21" x14ac:dyDescent="0.35">
      <c r="A7" s="80" t="s">
        <v>150</v>
      </c>
      <c r="B7" s="80"/>
      <c r="C7" s="80"/>
      <c r="D7" s="80"/>
      <c r="E7" s="81"/>
      <c r="I7" s="78" t="s">
        <v>129</v>
      </c>
      <c r="J7" s="78"/>
      <c r="N7" s="79" t="s">
        <v>130</v>
      </c>
      <c r="O7" s="79"/>
    </row>
    <row r="9" spans="1:25" x14ac:dyDescent="0.25">
      <c r="A9" s="65" t="s">
        <v>102</v>
      </c>
      <c r="B9" s="65"/>
      <c r="C9" s="65"/>
      <c r="D9" s="65"/>
      <c r="E9" s="16">
        <v>0</v>
      </c>
      <c r="F9" s="16">
        <v>1</v>
      </c>
      <c r="G9" s="16">
        <f>IF(F9&lt;UnosPodataka!$M$28,FinaIndicators!F9+1,"")</f>
        <v>2</v>
      </c>
      <c r="H9" s="16">
        <f>IF(G9&lt;UnosPodataka!$M$28,FinaIndicators!G9+1,"")</f>
        <v>3</v>
      </c>
      <c r="I9" s="16">
        <f>IF(H9&lt;UnosPodataka!$M$28,FinaIndicators!H9+1,"")</f>
        <v>4</v>
      </c>
      <c r="J9" s="16">
        <f>IF(I9&lt;UnosPodataka!$M$28,FinaIndicators!I9+1,"")</f>
        <v>5</v>
      </c>
      <c r="K9" s="16">
        <f>IF(J9&lt;UnosPodataka!$M$28,FinaIndicators!J9+1,"")</f>
        <v>6</v>
      </c>
      <c r="L9" s="16">
        <f>IF(K9&lt;UnosPodataka!$M$28,FinaIndicators!K9+1,"")</f>
        <v>7</v>
      </c>
      <c r="M9" s="16">
        <f>IF(L9&lt;UnosPodataka!$M$28,FinaIndicators!L9+1,"")</f>
        <v>8</v>
      </c>
      <c r="N9" s="16">
        <f>IF(M9&lt;UnosPodataka!$M$28,FinaIndicators!M9+1,"")</f>
        <v>9</v>
      </c>
      <c r="O9" s="16">
        <f>IF(N9&lt;UnosPodataka!$M$28,FinaIndicators!N9+1,"")</f>
        <v>10</v>
      </c>
      <c r="P9" s="16">
        <f>IF(O9&lt;UnosPodataka!$M$28,FinaIndicators!O9+1,"")</f>
        <v>11</v>
      </c>
      <c r="Q9" s="16">
        <f>IF(P9&lt;UnosPodataka!$M$28,FinaIndicators!P9+1,"")</f>
        <v>12</v>
      </c>
      <c r="R9" s="16">
        <f>IF(Q9&lt;UnosPodataka!$M$28,FinaIndicators!Q9+1,"")</f>
        <v>13</v>
      </c>
      <c r="S9" s="16">
        <f>IF(R9&lt;UnosPodataka!$M$28,FinaIndicators!R9+1,"")</f>
        <v>14</v>
      </c>
      <c r="T9" s="16">
        <f>IF(S9&lt;UnosPodataka!$M$28,FinaIndicators!S9+1,"")</f>
        <v>15</v>
      </c>
      <c r="U9" s="16">
        <f>IF(T9&lt;UnosPodataka!$M$28,FinaIndicators!T9+1,"")</f>
        <v>16</v>
      </c>
      <c r="V9" s="16">
        <f>IF(U9&lt;UnosPodataka!$M$28,FinaIndicators!U9+1,"")</f>
        <v>17</v>
      </c>
      <c r="W9" s="16">
        <f>IF(V9&lt;UnosPodataka!$M$28,FinaIndicators!V9+1,"")</f>
        <v>18</v>
      </c>
      <c r="X9" s="16">
        <f>IF(W9&lt;UnosPodataka!$M$28,FinaIndicators!W9+1,"")</f>
        <v>19</v>
      </c>
      <c r="Y9" s="16">
        <f>IF(X9&lt;UnosPodataka!$M$28,FinaIndicators!X9+1,"")</f>
        <v>20</v>
      </c>
    </row>
    <row r="11" spans="1:25" x14ac:dyDescent="0.25">
      <c r="A11" s="73" t="s">
        <v>103</v>
      </c>
      <c r="B11" s="73"/>
      <c r="C11" s="73"/>
      <c r="D11" s="73"/>
      <c r="E11" s="3">
        <f>Loan</f>
        <v>1575000</v>
      </c>
      <c r="T11" s="3">
        <f>+VLOOKUP(T9,Annuity!$B$13:$E$32,3,FALSE)</f>
        <v>24776.59044032095</v>
      </c>
    </row>
    <row r="12" spans="1:25" x14ac:dyDescent="0.25">
      <c r="A12" s="73" t="s">
        <v>104</v>
      </c>
      <c r="B12" s="73"/>
      <c r="C12" s="73"/>
      <c r="D12" s="73"/>
      <c r="E12" s="3">
        <f>Equity</f>
        <v>100000</v>
      </c>
      <c r="T12" s="3">
        <f>+VLOOKUP(T9,Annuity!$B$13:$E$32,4,FALSE)</f>
        <v>-231248.17744299548</v>
      </c>
    </row>
    <row r="13" spans="1:25" x14ac:dyDescent="0.25">
      <c r="A13" s="73" t="s">
        <v>143</v>
      </c>
      <c r="B13" s="73"/>
      <c r="C13" s="73"/>
      <c r="D13" s="73"/>
      <c r="E13" s="3">
        <f>+SUM(UnosPodataka!F25:F29)</f>
        <v>1560000</v>
      </c>
      <c r="T13" s="3">
        <f>-VLOOKUP(S9,Annuity!$B$13:$E$32,4,FALSE)-VLOOKUP(T9,Annuity!$B$13:$E$32,3,FALSE)</f>
        <v>206471.58700267453</v>
      </c>
    </row>
    <row r="14" spans="1:25" x14ac:dyDescent="0.25">
      <c r="A14" s="73" t="s">
        <v>105</v>
      </c>
      <c r="B14" s="73"/>
      <c r="C14" s="73"/>
      <c r="D14" s="73"/>
      <c r="F14" s="3">
        <f t="shared" ref="F14:Y14" si="0">+HEAT</f>
        <v>21600</v>
      </c>
      <c r="G14" s="3">
        <f t="shared" si="0"/>
        <v>21600</v>
      </c>
      <c r="H14" s="3">
        <f t="shared" si="0"/>
        <v>21600</v>
      </c>
      <c r="I14" s="3">
        <f t="shared" si="0"/>
        <v>21600</v>
      </c>
      <c r="J14" s="3">
        <f t="shared" si="0"/>
        <v>21600</v>
      </c>
      <c r="K14" s="3">
        <f t="shared" si="0"/>
        <v>21600</v>
      </c>
      <c r="L14" s="3">
        <f t="shared" si="0"/>
        <v>21600</v>
      </c>
      <c r="M14" s="3">
        <f t="shared" si="0"/>
        <v>21600</v>
      </c>
      <c r="N14" s="3">
        <f t="shared" si="0"/>
        <v>21600</v>
      </c>
      <c r="O14" s="3">
        <f t="shared" si="0"/>
        <v>21600</v>
      </c>
      <c r="P14" s="3">
        <f t="shared" si="0"/>
        <v>21600</v>
      </c>
      <c r="Q14" s="3">
        <f t="shared" si="0"/>
        <v>21600</v>
      </c>
      <c r="R14" s="3">
        <f t="shared" si="0"/>
        <v>21600</v>
      </c>
      <c r="S14" s="3">
        <f t="shared" si="0"/>
        <v>21600</v>
      </c>
      <c r="T14" s="3">
        <f t="shared" si="0"/>
        <v>21600</v>
      </c>
      <c r="U14" s="3">
        <f t="shared" si="0"/>
        <v>21600</v>
      </c>
      <c r="V14" s="3">
        <f t="shared" si="0"/>
        <v>21600</v>
      </c>
      <c r="W14" s="3">
        <f t="shared" si="0"/>
        <v>21600</v>
      </c>
      <c r="X14" s="3">
        <f t="shared" si="0"/>
        <v>21600</v>
      </c>
      <c r="Y14" s="3">
        <f t="shared" si="0"/>
        <v>21600</v>
      </c>
    </row>
    <row r="15" spans="1:25" x14ac:dyDescent="0.25">
      <c r="A15" s="73" t="s">
        <v>118</v>
      </c>
      <c r="B15" s="73"/>
      <c r="C15" s="73"/>
      <c r="D15" s="73"/>
      <c r="F15" s="3">
        <f t="shared" ref="F15:Y15" si="1">ECONS</f>
        <v>5400</v>
      </c>
      <c r="G15" s="3">
        <f t="shared" si="1"/>
        <v>5400</v>
      </c>
      <c r="H15" s="3">
        <f t="shared" si="1"/>
        <v>5400</v>
      </c>
      <c r="I15" s="3">
        <f t="shared" si="1"/>
        <v>5400</v>
      </c>
      <c r="J15" s="3">
        <f t="shared" si="1"/>
        <v>5400</v>
      </c>
      <c r="K15" s="3">
        <f t="shared" si="1"/>
        <v>5400</v>
      </c>
      <c r="L15" s="3">
        <f t="shared" si="1"/>
        <v>5400</v>
      </c>
      <c r="M15" s="3">
        <f t="shared" si="1"/>
        <v>5400</v>
      </c>
      <c r="N15" s="3">
        <f t="shared" si="1"/>
        <v>5400</v>
      </c>
      <c r="O15" s="3">
        <f t="shared" si="1"/>
        <v>5400</v>
      </c>
      <c r="P15" s="3">
        <f t="shared" si="1"/>
        <v>5400</v>
      </c>
      <c r="Q15" s="3">
        <f t="shared" si="1"/>
        <v>5400</v>
      </c>
      <c r="R15" s="3">
        <f t="shared" si="1"/>
        <v>5400</v>
      </c>
      <c r="S15" s="3">
        <f t="shared" si="1"/>
        <v>5400</v>
      </c>
      <c r="T15" s="3">
        <f t="shared" si="1"/>
        <v>5400</v>
      </c>
      <c r="U15" s="3">
        <f t="shared" si="1"/>
        <v>5400</v>
      </c>
      <c r="V15" s="3">
        <f t="shared" si="1"/>
        <v>5400</v>
      </c>
      <c r="W15" s="3">
        <f t="shared" si="1"/>
        <v>5400</v>
      </c>
      <c r="X15" s="3">
        <f t="shared" si="1"/>
        <v>5400</v>
      </c>
      <c r="Y15" s="3">
        <f t="shared" si="1"/>
        <v>5400</v>
      </c>
    </row>
    <row r="16" spans="1:25" x14ac:dyDescent="0.25">
      <c r="A16" s="22"/>
      <c r="B16" s="22"/>
      <c r="C16" s="22"/>
      <c r="D16" s="22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5" t="s">
        <v>147</v>
      </c>
      <c r="B17" s="65"/>
      <c r="C17" s="65"/>
      <c r="D17" s="6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73" t="s">
        <v>106</v>
      </c>
      <c r="B18" s="73"/>
      <c r="C18" s="73"/>
      <c r="D18" s="73"/>
      <c r="F18" s="3">
        <f t="shared" ref="F18:Y18" si="2">F14*etagrid*HPrice/Kurs_EUR</f>
        <v>1475138.1215469614</v>
      </c>
      <c r="G18" s="3">
        <f t="shared" si="2"/>
        <v>1475138.1215469614</v>
      </c>
      <c r="H18" s="3">
        <f t="shared" si="2"/>
        <v>1475138.1215469614</v>
      </c>
      <c r="I18" s="3">
        <f t="shared" si="2"/>
        <v>1475138.1215469614</v>
      </c>
      <c r="J18" s="3">
        <f t="shared" si="2"/>
        <v>1475138.1215469614</v>
      </c>
      <c r="K18" s="3">
        <f t="shared" si="2"/>
        <v>1475138.1215469614</v>
      </c>
      <c r="L18" s="3">
        <f t="shared" si="2"/>
        <v>1475138.1215469614</v>
      </c>
      <c r="M18" s="3">
        <f t="shared" si="2"/>
        <v>1475138.1215469614</v>
      </c>
      <c r="N18" s="3">
        <f t="shared" si="2"/>
        <v>1475138.1215469614</v>
      </c>
      <c r="O18" s="3">
        <f t="shared" si="2"/>
        <v>1475138.1215469614</v>
      </c>
      <c r="P18" s="3">
        <f t="shared" si="2"/>
        <v>1475138.1215469614</v>
      </c>
      <c r="Q18" s="3">
        <f t="shared" si="2"/>
        <v>1475138.1215469614</v>
      </c>
      <c r="R18" s="3">
        <f t="shared" si="2"/>
        <v>1475138.1215469614</v>
      </c>
      <c r="S18" s="3">
        <f t="shared" si="2"/>
        <v>1475138.1215469614</v>
      </c>
      <c r="T18" s="3">
        <f t="shared" si="2"/>
        <v>1475138.1215469614</v>
      </c>
      <c r="U18" s="3">
        <f t="shared" si="2"/>
        <v>1475138.1215469614</v>
      </c>
      <c r="V18" s="3">
        <f t="shared" si="2"/>
        <v>1475138.1215469614</v>
      </c>
      <c r="W18" s="3">
        <f t="shared" si="2"/>
        <v>1475138.1215469614</v>
      </c>
      <c r="X18" s="3">
        <f t="shared" si="2"/>
        <v>1475138.1215469614</v>
      </c>
      <c r="Y18" s="3">
        <f t="shared" si="2"/>
        <v>1475138.1215469614</v>
      </c>
    </row>
    <row r="19" spans="1:25" x14ac:dyDescent="0.25">
      <c r="A19" s="76" t="s">
        <v>107</v>
      </c>
      <c r="B19" s="76"/>
      <c r="C19" s="76"/>
      <c r="D19" s="76"/>
      <c r="E19" s="31"/>
      <c r="F19" s="32">
        <f>+F18</f>
        <v>1475138.1215469614</v>
      </c>
      <c r="G19" s="32">
        <f t="shared" ref="G19:Y19" si="3">+G18</f>
        <v>1475138.1215469614</v>
      </c>
      <c r="H19" s="32">
        <f t="shared" si="3"/>
        <v>1475138.1215469614</v>
      </c>
      <c r="I19" s="32">
        <f t="shared" si="3"/>
        <v>1475138.1215469614</v>
      </c>
      <c r="J19" s="32">
        <f t="shared" si="3"/>
        <v>1475138.1215469614</v>
      </c>
      <c r="K19" s="32">
        <f t="shared" si="3"/>
        <v>1475138.1215469614</v>
      </c>
      <c r="L19" s="32">
        <f t="shared" si="3"/>
        <v>1475138.1215469614</v>
      </c>
      <c r="M19" s="32">
        <f t="shared" si="3"/>
        <v>1475138.1215469614</v>
      </c>
      <c r="N19" s="32">
        <f t="shared" si="3"/>
        <v>1475138.1215469614</v>
      </c>
      <c r="O19" s="32">
        <f t="shared" si="3"/>
        <v>1475138.1215469614</v>
      </c>
      <c r="P19" s="32">
        <f t="shared" si="3"/>
        <v>1475138.1215469614</v>
      </c>
      <c r="Q19" s="32">
        <f t="shared" si="3"/>
        <v>1475138.1215469614</v>
      </c>
      <c r="R19" s="32">
        <f t="shared" si="3"/>
        <v>1475138.1215469614</v>
      </c>
      <c r="S19" s="32">
        <f t="shared" si="3"/>
        <v>1475138.1215469614</v>
      </c>
      <c r="T19" s="32">
        <f t="shared" si="3"/>
        <v>1475138.1215469614</v>
      </c>
      <c r="U19" s="32">
        <f t="shared" si="3"/>
        <v>1475138.1215469614</v>
      </c>
      <c r="V19" s="32">
        <f t="shared" si="3"/>
        <v>1475138.1215469614</v>
      </c>
      <c r="W19" s="32">
        <f t="shared" si="3"/>
        <v>1475138.1215469614</v>
      </c>
      <c r="X19" s="32">
        <f t="shared" si="3"/>
        <v>1475138.1215469614</v>
      </c>
      <c r="Y19" s="32">
        <f t="shared" si="3"/>
        <v>1475138.1215469614</v>
      </c>
    </row>
    <row r="20" spans="1:25" x14ac:dyDescent="0.25"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x14ac:dyDescent="0.25">
      <c r="A21" s="65" t="s">
        <v>148</v>
      </c>
      <c r="B21" s="65"/>
      <c r="C21" s="65"/>
      <c r="D21" s="65"/>
    </row>
    <row r="22" spans="1:25" x14ac:dyDescent="0.25">
      <c r="A22" s="73" t="s">
        <v>144</v>
      </c>
      <c r="B22" s="73"/>
      <c r="C22" s="73"/>
      <c r="D22" s="73"/>
      <c r="F22" s="3">
        <f>IF(F9&gt;UnosPodataka!$M$25,"",-VLOOKUP(F9,Annuity!$B$13:$E$32,3,FALSE))</f>
        <v>-189000</v>
      </c>
      <c r="G22" s="3">
        <f>IF(G9&gt;UnosPodataka!$M$25,"",-VLOOKUP(G9,Annuity!$B$13:$E$32,3,FALSE))</f>
        <v>-183930.21870684056</v>
      </c>
      <c r="H22" s="3">
        <f>IF(H9&gt;UnosPodataka!$M$25,"",-VLOOKUP(H9,Annuity!$B$13:$E$32,3,FALSE))</f>
        <v>-178252.06365850198</v>
      </c>
      <c r="I22" s="3">
        <f>IF(I9&gt;UnosPodataka!$M$25,"",-VLOOKUP(I9,Annuity!$B$13:$E$32,3,FALSE))</f>
        <v>-171892.53000436278</v>
      </c>
      <c r="J22" s="3">
        <f>IF(J9&gt;UnosPodataka!$M$25,"",-VLOOKUP(J9,Annuity!$B$13:$E$32,3,FALSE))</f>
        <v>-164769.85231172683</v>
      </c>
      <c r="K22" s="3">
        <f>IF(K9&gt;UnosPodataka!$M$25,"",-VLOOKUP(K9,Annuity!$B$13:$E$32,3,FALSE))</f>
        <v>-156792.45329597458</v>
      </c>
      <c r="L22" s="3">
        <f>IF(L9&gt;UnosPodataka!$M$25,"",-VLOOKUP(L9,Annuity!$B$13:$E$32,3,FALSE))</f>
        <v>-147857.76639833208</v>
      </c>
      <c r="M22" s="3">
        <f>IF(M9&gt;UnosPodataka!$M$25,"",-VLOOKUP(M9,Annuity!$B$13:$E$32,3,FALSE))</f>
        <v>-137850.91707297252</v>
      </c>
      <c r="N22" s="3">
        <f>IF(N9&gt;UnosPodataka!$M$25,"",-VLOOKUP(N9,Annuity!$B$13:$E$32,3,FALSE))</f>
        <v>-126643.24582856974</v>
      </c>
      <c r="O22" s="3">
        <f>IF(O9&gt;UnosPodataka!$M$25,"",-VLOOKUP(O9,Annuity!$B$13:$E$32,3,FALSE))</f>
        <v>-114090.65403483863</v>
      </c>
      <c r="P22" s="3">
        <f>IF(P9&gt;UnosPodataka!$M$25,"",-VLOOKUP(P9,Annuity!$B$13:$E$32,3,FALSE))</f>
        <v>-100031.75122585981</v>
      </c>
      <c r="Q22" s="3">
        <f>IF(Q9&gt;UnosPodataka!$M$25,"",-VLOOKUP(Q9,Annuity!$B$13:$E$32,3,FALSE))</f>
        <v>-84285.780079803531</v>
      </c>
      <c r="R22" s="3">
        <f>IF(R9&gt;UnosPodataka!$M$25,"",-VLOOKUP(R9,Annuity!$B$13:$E$32,3,FALSE))</f>
        <v>-66650.29239622051</v>
      </c>
      <c r="S22" s="3">
        <f>IF(S9&gt;UnosPodataka!$M$25,"",-VLOOKUP(S9,Annuity!$B$13:$E$32,3,FALSE))</f>
        <v>-46898.546190607507</v>
      </c>
      <c r="T22" s="3">
        <f>IF(T9&gt;UnosPodataka!$M$25,"",-VLOOKUP(T9,Annuity!$B$13:$E$32,3,FALSE))</f>
        <v>-24776.59044032095</v>
      </c>
      <c r="U22" s="3" t="str">
        <f>IF(U9&gt;UnosPodataka!$M$25,"",-VLOOKUP(U9,Annuity!$B$13:$E$32,3,FALSE))</f>
        <v/>
      </c>
      <c r="V22" s="3" t="str">
        <f>IF(V9&gt;UnosPodataka!$M$25,"",-VLOOKUP(V9,Annuity!$B$13:$E$32,3,FALSE))</f>
        <v/>
      </c>
      <c r="W22" s="3" t="str">
        <f>IF(W9&gt;UnosPodataka!$M$25,"",-VLOOKUP(W9,Annuity!$B$13:$E$32,3,FALSE))</f>
        <v/>
      </c>
      <c r="X22" s="3" t="str">
        <f>IF(X9&gt;UnosPodataka!$M$25,"",-VLOOKUP(X9,Annuity!$B$13:$E$32,3,FALSE))</f>
        <v/>
      </c>
      <c r="Y22" s="3" t="str">
        <f>IF(Y9&gt;UnosPodataka!$M$25,"",-VLOOKUP(Y9,Annuity!$B$13:$E$32,3,FALSE))</f>
        <v/>
      </c>
    </row>
    <row r="23" spans="1:25" x14ac:dyDescent="0.25">
      <c r="A23" s="22" t="s">
        <v>145</v>
      </c>
      <c r="B23" s="22"/>
      <c r="C23" s="22"/>
      <c r="D23" s="22"/>
      <c r="F23" s="3">
        <f>IF(F22="",0,IF(F9&gt;UnosPodataka!$M$25,"",VLOOKUP(F9,Annuity!$B$13:$E$32,4,FALSE)+VLOOKUP(F9,Annuity!$B$13:$E$32,3,FALSE)))</f>
        <v>-42248.177442995482</v>
      </c>
      <c r="G23" s="3">
        <f>IF(G22="",0,IF(G9&gt;UnosPodataka!$M$25,"",VLOOKUP(G9,Annuity!$B$13:$E$32,4,FALSE)+VLOOKUP(G9,Annuity!$B$13:$E$32,3,FALSE)))</f>
        <v>-47317.95873615492</v>
      </c>
      <c r="H23" s="3">
        <f>IF(H22="",0,IF(H9&gt;UnosPodataka!$M$25,"",VLOOKUP(H9,Annuity!$B$13:$E$32,4,FALSE)+VLOOKUP(H9,Annuity!$B$13:$E$32,3,FALSE)))</f>
        <v>-52996.1137844935</v>
      </c>
      <c r="I23" s="3">
        <f>IF(I22="",0,IF(I9&gt;UnosPodataka!$M$25,"",VLOOKUP(I9,Annuity!$B$13:$E$32,4,FALSE)+VLOOKUP(I9,Annuity!$B$13:$E$32,3,FALSE)))</f>
        <v>-59355.647438632703</v>
      </c>
      <c r="J23" s="3">
        <f>IF(J22="",0,IF(J9&gt;UnosPodataka!$M$25,"",VLOOKUP(J9,Annuity!$B$13:$E$32,4,FALSE)+VLOOKUP(J9,Annuity!$B$13:$E$32,3,FALSE)))</f>
        <v>-66478.325131268648</v>
      </c>
      <c r="K23" s="3">
        <f>IF(K22="",0,IF(K9&gt;UnosPodataka!$M$25,"",VLOOKUP(K9,Annuity!$B$13:$E$32,4,FALSE)+VLOOKUP(K9,Annuity!$B$13:$E$32,3,FALSE)))</f>
        <v>-74455.724147020897</v>
      </c>
      <c r="L23" s="3">
        <f>IF(L22="",0,IF(L9&gt;UnosPodataka!$M$25,"",VLOOKUP(L9,Annuity!$B$13:$E$32,4,FALSE)+VLOOKUP(L9,Annuity!$B$13:$E$32,3,FALSE)))</f>
        <v>-83390.4110446634</v>
      </c>
      <c r="M23" s="3">
        <f>IF(M22="",0,IF(M9&gt;UnosPodataka!$M$25,"",VLOOKUP(M9,Annuity!$B$13:$E$32,4,FALSE)+VLOOKUP(M9,Annuity!$B$13:$E$32,3,FALSE)))</f>
        <v>-93397.260370022967</v>
      </c>
      <c r="N23" s="3">
        <f>IF(N22="",0,IF(N9&gt;UnosPodataka!$M$25,"",VLOOKUP(N9,Annuity!$B$13:$E$32,4,FALSE)+VLOOKUP(N9,Annuity!$B$13:$E$32,3,FALSE)))</f>
        <v>-104604.93161442575</v>
      </c>
      <c r="O23" s="3">
        <f>IF(O22="",0,IF(O9&gt;UnosPodataka!$M$25,"",VLOOKUP(O9,Annuity!$B$13:$E$32,4,FALSE)+VLOOKUP(O9,Annuity!$B$13:$E$32,3,FALSE)))</f>
        <v>-117157.52340815685</v>
      </c>
      <c r="P23" s="3">
        <f>IF(P22="",0,IF(P9&gt;UnosPodataka!$M$25,"",VLOOKUP(P9,Annuity!$B$13:$E$32,4,FALSE)+VLOOKUP(P9,Annuity!$B$13:$E$32,3,FALSE)))</f>
        <v>-131216.42621713568</v>
      </c>
      <c r="Q23" s="3">
        <f>IF(Q22="",0,IF(Q9&gt;UnosPodataka!$M$25,"",VLOOKUP(Q9,Annuity!$B$13:$E$32,4,FALSE)+VLOOKUP(Q9,Annuity!$B$13:$E$32,3,FALSE)))</f>
        <v>-146962.39736319194</v>
      </c>
      <c r="R23" s="3">
        <f>IF(R22="",0,IF(R9&gt;UnosPodataka!$M$25,"",VLOOKUP(R9,Annuity!$B$13:$E$32,4,FALSE)+VLOOKUP(R9,Annuity!$B$13:$E$32,3,FALSE)))</f>
        <v>-164597.88504677499</v>
      </c>
      <c r="S23" s="3">
        <f>IF(S22="",0,IF(S9&gt;UnosPodataka!$M$25,"",VLOOKUP(S9,Annuity!$B$13:$E$32,4,FALSE)+VLOOKUP(S9,Annuity!$B$13:$E$32,3,FALSE)))</f>
        <v>-184349.63125238798</v>
      </c>
      <c r="T23" s="3">
        <f>IF(T22="",0,IF(T9&gt;UnosPodataka!$M$25,"",VLOOKUP(T9,Annuity!$B$13:$E$32,4,FALSE)+VLOOKUP(T9,Annuity!$B$13:$E$32,3,FALSE)))</f>
        <v>-206471.58700267453</v>
      </c>
      <c r="U23" s="3">
        <f>IF(U22="",0,IF(U9&gt;UnosPodataka!$M$25,"",VLOOKUP(U9,Annuity!$B$13:$E$32,4,FALSE)+VLOOKUP(U9,Annuity!$B$13:$E$32,3,FALSE)))</f>
        <v>0</v>
      </c>
      <c r="V23" s="3">
        <f>IF(V22="",0,IF(V9&gt;UnosPodataka!$M$25,"",VLOOKUP(V9,Annuity!$B$13:$E$32,4,FALSE)+VLOOKUP(V9,Annuity!$B$13:$E$32,3,FALSE)))</f>
        <v>0</v>
      </c>
      <c r="W23" s="3">
        <f>IF(W22="",0,IF(W9&gt;UnosPodataka!$M$25,"",VLOOKUP(W9,Annuity!$B$13:$E$32,4,FALSE)+VLOOKUP(W9,Annuity!$B$13:$E$32,3,FALSE)))</f>
        <v>0</v>
      </c>
      <c r="X23" s="3">
        <f>IF(X22="",0,IF(X9&gt;UnosPodataka!$M$25,"",VLOOKUP(X9,Annuity!$B$13:$E$32,4,FALSE)+VLOOKUP(X9,Annuity!$B$13:$E$32,3,FALSE)))</f>
        <v>0</v>
      </c>
      <c r="Y23" s="3">
        <f>IF(Y22="",0,IF(Y9&gt;UnosPodataka!$M$25,"",VLOOKUP(Y9,Annuity!$B$13:$E$32,4,FALSE)+VLOOKUP(Y9,Annuity!$B$13:$E$32,3,FALSE)))</f>
        <v>0</v>
      </c>
    </row>
    <row r="24" spans="1:25" x14ac:dyDescent="0.25">
      <c r="A24" s="73" t="s">
        <v>108</v>
      </c>
      <c r="B24" s="73"/>
      <c r="C24" s="73"/>
      <c r="D24" s="73"/>
      <c r="F24" s="3">
        <f>IF(F9&lt;&gt;"",-UnosPodataka!$M$9,"")</f>
        <v>-2800</v>
      </c>
      <c r="G24" s="3">
        <f>IF(G9&lt;&gt;"",-UnosPodataka!$M$9,"")</f>
        <v>-2800</v>
      </c>
      <c r="H24" s="3">
        <f>IF(H9&lt;&gt;"",-UnosPodataka!$M$9,"")</f>
        <v>-2800</v>
      </c>
      <c r="I24" s="3">
        <f>IF(I9&lt;&gt;"",-UnosPodataka!$M$9,"")</f>
        <v>-2800</v>
      </c>
      <c r="J24" s="3">
        <f>IF(J9&lt;&gt;"",-UnosPodataka!$M$9,"")</f>
        <v>-2800</v>
      </c>
      <c r="K24" s="3">
        <f>IF(K9&lt;&gt;"",-UnosPodataka!$M$9,"")</f>
        <v>-2800</v>
      </c>
      <c r="L24" s="3">
        <f>IF(L9&lt;&gt;"",-UnosPodataka!$M$9,"")</f>
        <v>-2800</v>
      </c>
      <c r="M24" s="3">
        <f>IF(M9&lt;&gt;"",-UnosPodataka!$M$9,"")</f>
        <v>-2800</v>
      </c>
      <c r="N24" s="3">
        <f>IF(N9&lt;&gt;"",-UnosPodataka!$M$9,"")</f>
        <v>-2800</v>
      </c>
      <c r="O24" s="3">
        <f>IF(O9&lt;&gt;"",-UnosPodataka!$M$9,"")</f>
        <v>-2800</v>
      </c>
      <c r="P24" s="3">
        <f>IF(P9&lt;&gt;"",-UnosPodataka!$M$9,"")</f>
        <v>-2800</v>
      </c>
      <c r="Q24" s="3">
        <f>IF(Q9&lt;&gt;"",-UnosPodataka!$M$9,"")</f>
        <v>-2800</v>
      </c>
      <c r="R24" s="3">
        <f>IF(R9&lt;&gt;"",-UnosPodataka!$M$9,"")</f>
        <v>-2800</v>
      </c>
      <c r="S24" s="3">
        <f>IF(S9&lt;&gt;"",-UnosPodataka!$M$9,"")</f>
        <v>-2800</v>
      </c>
      <c r="T24" s="3">
        <f>IF(T9&lt;&gt;"",-UnosPodataka!$M$9,"")</f>
        <v>-2800</v>
      </c>
      <c r="U24" s="3">
        <f>IF(U9&lt;&gt;"",-UnosPodataka!$M$9,"")</f>
        <v>-2800</v>
      </c>
      <c r="V24" s="3">
        <f>IF(V9&lt;&gt;"",-UnosPodataka!$M$9,"")</f>
        <v>-2800</v>
      </c>
      <c r="W24" s="3">
        <f>IF(W9&lt;&gt;"",-UnosPodataka!$M$9,"")</f>
        <v>-2800</v>
      </c>
      <c r="X24" s="3">
        <f>IF(X9&lt;&gt;"",-UnosPodataka!$M$9,"")</f>
        <v>-2800</v>
      </c>
      <c r="Y24" s="3">
        <f>IF(Y9&lt;&gt;"",-UnosPodataka!$M$9,"")</f>
        <v>-2800</v>
      </c>
    </row>
    <row r="25" spans="1:25" x14ac:dyDescent="0.25">
      <c r="A25" s="73" t="s">
        <v>109</v>
      </c>
      <c r="B25" s="73"/>
      <c r="C25" s="73"/>
      <c r="D25" s="73"/>
      <c r="F25" s="3">
        <f>IF(F9&lt;&gt;"",-Investment*UnosPodataka!$M$11,"")</f>
        <v>-48525</v>
      </c>
      <c r="G25" s="3">
        <f>IF(G9&lt;&gt;"",-Investment*UnosPodataka!$M$11,"")</f>
        <v>-48525</v>
      </c>
      <c r="H25" s="3">
        <f>IF(H9&lt;&gt;"",-Investment*UnosPodataka!$M$11,"")</f>
        <v>-48525</v>
      </c>
      <c r="I25" s="3">
        <f>IF(I9&lt;&gt;"",-Investment*UnosPodataka!$M$11,"")</f>
        <v>-48525</v>
      </c>
      <c r="J25" s="3">
        <f>IF(J9&lt;&gt;"",-Investment*UnosPodataka!$M$11,"")</f>
        <v>-48525</v>
      </c>
      <c r="K25" s="3">
        <f>IF(K9&lt;&gt;"",-Investment*UnosPodataka!$M$11,"")</f>
        <v>-48525</v>
      </c>
      <c r="L25" s="3">
        <f>IF(L9&lt;&gt;"",-Investment*UnosPodataka!$M$11,"")</f>
        <v>-48525</v>
      </c>
      <c r="M25" s="3">
        <f>IF(M9&lt;&gt;"",-Investment*UnosPodataka!$M$11,"")</f>
        <v>-48525</v>
      </c>
      <c r="N25" s="3">
        <f>IF(N9&lt;&gt;"",-Investment*UnosPodataka!$M$11,"")</f>
        <v>-48525</v>
      </c>
      <c r="O25" s="3">
        <f>IF(O9&lt;&gt;"",-Investment*UnosPodataka!$M$11,"")</f>
        <v>-48525</v>
      </c>
      <c r="P25" s="3">
        <f>IF(P9&lt;&gt;"",-Investment*UnosPodataka!$M$11,"")</f>
        <v>-48525</v>
      </c>
      <c r="Q25" s="3">
        <f>IF(Q9&lt;&gt;"",-Investment*UnosPodataka!$M$11,"")</f>
        <v>-48525</v>
      </c>
      <c r="R25" s="3">
        <f>IF(R9&lt;&gt;"",-Investment*UnosPodataka!$M$11,"")</f>
        <v>-48525</v>
      </c>
      <c r="S25" s="3">
        <f>IF(S9&lt;&gt;"",-Investment*UnosPodataka!$M$11,"")</f>
        <v>-48525</v>
      </c>
      <c r="T25" s="3">
        <f>IF(T9&lt;&gt;"",-Investment*UnosPodataka!$M$11,"")</f>
        <v>-48525</v>
      </c>
      <c r="U25" s="3">
        <f>IF(U9&lt;&gt;"",-Investment*UnosPodataka!$M$11,"")</f>
        <v>-48525</v>
      </c>
      <c r="V25" s="3">
        <f>IF(V9&lt;&gt;"",-Investment*UnosPodataka!$M$11,"")</f>
        <v>-48525</v>
      </c>
      <c r="W25" s="3">
        <f>IF(W9&lt;&gt;"",-Investment*UnosPodataka!$M$11,"")</f>
        <v>-48525</v>
      </c>
      <c r="X25" s="3">
        <f>IF(X9&lt;&gt;"",-Investment*UnosPodataka!$M$11,"")</f>
        <v>-48525</v>
      </c>
      <c r="Y25" s="3">
        <f>IF(Y9&lt;&gt;"",-Investment*UnosPodataka!$M$11,"")</f>
        <v>-48525</v>
      </c>
    </row>
    <row r="26" spans="1:25" x14ac:dyDescent="0.25">
      <c r="A26" s="73" t="s">
        <v>110</v>
      </c>
      <c r="B26" s="73"/>
      <c r="C26" s="73"/>
      <c r="D26" s="73"/>
      <c r="F26" s="3">
        <f t="shared" ref="F26:Y26" si="4">IF(F9&lt;&gt;"",-(EPOW*WHOUR+ECONS)*EPrice/Kurs_EUR,"")</f>
        <v>-593247.39103744633</v>
      </c>
      <c r="G26" s="3">
        <f t="shared" si="4"/>
        <v>-593247.39103744633</v>
      </c>
      <c r="H26" s="3">
        <f t="shared" si="4"/>
        <v>-593247.39103744633</v>
      </c>
      <c r="I26" s="3">
        <f t="shared" si="4"/>
        <v>-593247.39103744633</v>
      </c>
      <c r="J26" s="3">
        <f t="shared" si="4"/>
        <v>-593247.39103744633</v>
      </c>
      <c r="K26" s="3">
        <f t="shared" si="4"/>
        <v>-593247.39103744633</v>
      </c>
      <c r="L26" s="3">
        <f t="shared" si="4"/>
        <v>-593247.39103744633</v>
      </c>
      <c r="M26" s="3">
        <f t="shared" si="4"/>
        <v>-593247.39103744633</v>
      </c>
      <c r="N26" s="3">
        <f t="shared" si="4"/>
        <v>-593247.39103744633</v>
      </c>
      <c r="O26" s="3">
        <f t="shared" si="4"/>
        <v>-593247.39103744633</v>
      </c>
      <c r="P26" s="3">
        <f t="shared" si="4"/>
        <v>-593247.39103744633</v>
      </c>
      <c r="Q26" s="3">
        <f t="shared" si="4"/>
        <v>-593247.39103744633</v>
      </c>
      <c r="R26" s="3">
        <f t="shared" si="4"/>
        <v>-593247.39103744633</v>
      </c>
      <c r="S26" s="3">
        <f t="shared" si="4"/>
        <v>-593247.39103744633</v>
      </c>
      <c r="T26" s="3">
        <f t="shared" si="4"/>
        <v>-593247.39103744633</v>
      </c>
      <c r="U26" s="3">
        <f t="shared" si="4"/>
        <v>-593247.39103744633</v>
      </c>
      <c r="V26" s="3">
        <f t="shared" si="4"/>
        <v>-593247.39103744633</v>
      </c>
      <c r="W26" s="3">
        <f t="shared" si="4"/>
        <v>-593247.39103744633</v>
      </c>
      <c r="X26" s="3">
        <f t="shared" si="4"/>
        <v>-593247.39103744633</v>
      </c>
      <c r="Y26" s="3">
        <f t="shared" si="4"/>
        <v>-593247.39103744633</v>
      </c>
    </row>
    <row r="27" spans="1:25" x14ac:dyDescent="0.25">
      <c r="A27" s="73" t="s">
        <v>111</v>
      </c>
      <c r="B27" s="73"/>
      <c r="C27" s="73"/>
      <c r="D27" s="73"/>
      <c r="F27" s="3">
        <f t="shared" ref="F27:Y27" si="5">IF(F9&lt;&gt;"",-WCONS*3.6*WHOUR*WPRICE/Kurs_EUR,"")</f>
        <v>-99447.513812154706</v>
      </c>
      <c r="G27" s="3">
        <f t="shared" si="5"/>
        <v>-99447.513812154706</v>
      </c>
      <c r="H27" s="3">
        <f t="shared" si="5"/>
        <v>-99447.513812154706</v>
      </c>
      <c r="I27" s="3">
        <f t="shared" si="5"/>
        <v>-99447.513812154706</v>
      </c>
      <c r="J27" s="3">
        <f t="shared" si="5"/>
        <v>-99447.513812154706</v>
      </c>
      <c r="K27" s="3">
        <f t="shared" si="5"/>
        <v>-99447.513812154706</v>
      </c>
      <c r="L27" s="3">
        <f t="shared" si="5"/>
        <v>-99447.513812154706</v>
      </c>
      <c r="M27" s="3">
        <f t="shared" si="5"/>
        <v>-99447.513812154706</v>
      </c>
      <c r="N27" s="3">
        <f t="shared" si="5"/>
        <v>-99447.513812154706</v>
      </c>
      <c r="O27" s="3">
        <f t="shared" si="5"/>
        <v>-99447.513812154706</v>
      </c>
      <c r="P27" s="3">
        <f t="shared" si="5"/>
        <v>-99447.513812154706</v>
      </c>
      <c r="Q27" s="3">
        <f t="shared" si="5"/>
        <v>-99447.513812154706</v>
      </c>
      <c r="R27" s="3">
        <f t="shared" si="5"/>
        <v>-99447.513812154706</v>
      </c>
      <c r="S27" s="3">
        <f t="shared" si="5"/>
        <v>-99447.513812154706</v>
      </c>
      <c r="T27" s="3">
        <f t="shared" si="5"/>
        <v>-99447.513812154706</v>
      </c>
      <c r="U27" s="3">
        <f t="shared" si="5"/>
        <v>-99447.513812154706</v>
      </c>
      <c r="V27" s="3">
        <f t="shared" si="5"/>
        <v>-99447.513812154706</v>
      </c>
      <c r="W27" s="3">
        <f t="shared" si="5"/>
        <v>-99447.513812154706</v>
      </c>
      <c r="X27" s="3">
        <f t="shared" si="5"/>
        <v>-99447.513812154706</v>
      </c>
      <c r="Y27" s="3">
        <f t="shared" si="5"/>
        <v>-99447.513812154706</v>
      </c>
    </row>
    <row r="28" spans="1:25" x14ac:dyDescent="0.25">
      <c r="A28" s="73" t="s">
        <v>146</v>
      </c>
      <c r="B28" s="73"/>
      <c r="C28" s="73"/>
      <c r="D28" s="73"/>
      <c r="F28" s="3">
        <f>IF(F9&lt;&gt;"",-Investment*UnosPodataka!$M$12,"")</f>
        <v>-323500</v>
      </c>
      <c r="G28" s="3">
        <f>IF(G9&lt;&gt;"",-Investment*UnosPodataka!$M$12,"")</f>
        <v>-323500</v>
      </c>
      <c r="H28" s="3">
        <f>IF(H9&lt;&gt;"",-Investment*UnosPodataka!$M$12,"")</f>
        <v>-323500</v>
      </c>
      <c r="I28" s="3">
        <f>IF(I9&lt;&gt;"",-Investment*UnosPodataka!$M$12,"")</f>
        <v>-323500</v>
      </c>
      <c r="J28" s="3">
        <f>IF(J9&lt;&gt;"",-Investment*UnosPodataka!$M$12,"")</f>
        <v>-323500</v>
      </c>
      <c r="K28" s="3">
        <f>IF(K9&lt;&gt;"",-Investment*UnosPodataka!$M$12,"")</f>
        <v>-323500</v>
      </c>
      <c r="L28" s="3">
        <f>IF(L9&lt;&gt;"",-Investment*UnosPodataka!$M$12,"")</f>
        <v>-323500</v>
      </c>
      <c r="M28" s="3">
        <f>IF(M9&lt;&gt;"",-Investment*UnosPodataka!$M$12,"")</f>
        <v>-323500</v>
      </c>
      <c r="N28" s="3">
        <f>IF(N9&lt;&gt;"",-Investment*UnosPodataka!$M$12,"")</f>
        <v>-323500</v>
      </c>
      <c r="O28" s="3">
        <f>IF(O9&lt;&gt;"",-Investment*UnosPodataka!$M$12,"")</f>
        <v>-323500</v>
      </c>
      <c r="P28" s="3">
        <f>IF(P9&lt;&gt;"",-Investment*UnosPodataka!$M$12,"")</f>
        <v>-323500</v>
      </c>
      <c r="Q28" s="3">
        <f>IF(Q9&lt;&gt;"",-Investment*UnosPodataka!$M$12,"")</f>
        <v>-323500</v>
      </c>
      <c r="R28" s="3">
        <f>IF(R9&lt;&gt;"",-Investment*UnosPodataka!$M$12,"")</f>
        <v>-323500</v>
      </c>
      <c r="S28" s="3">
        <f>IF(S9&lt;&gt;"",-Investment*UnosPodataka!$M$12,"")</f>
        <v>-323500</v>
      </c>
      <c r="T28" s="3">
        <f>IF(T9&lt;&gt;"",-Investment*UnosPodataka!$M$12,"")</f>
        <v>-323500</v>
      </c>
      <c r="U28" s="3">
        <f>IF(U9&lt;&gt;"",-Investment*UnosPodataka!$M$12,"")</f>
        <v>-323500</v>
      </c>
      <c r="V28" s="3">
        <f>IF(V9&lt;&gt;"",-Investment*UnosPodataka!$M$12,"")</f>
        <v>-323500</v>
      </c>
      <c r="W28" s="3">
        <f>IF(W9&lt;&gt;"",-Investment*UnosPodataka!$M$12,"")</f>
        <v>-323500</v>
      </c>
      <c r="X28" s="3">
        <f>IF(X9&lt;&gt;"",-Investment*UnosPodataka!$M$12,"")</f>
        <v>-323500</v>
      </c>
      <c r="Y28" s="3">
        <f>IF(Y9&lt;&gt;"",-Investment*UnosPodataka!$M$12,"")</f>
        <v>-323500</v>
      </c>
    </row>
    <row r="29" spans="1:25" x14ac:dyDescent="0.25">
      <c r="A29" s="73" t="s">
        <v>112</v>
      </c>
      <c r="B29" s="73"/>
      <c r="C29" s="73"/>
      <c r="D29" s="73"/>
      <c r="F29" s="3">
        <f>IF(F9&lt;&gt;"",-(1-UnosPodataka!$M$10)*FinaIndicators!F18,"")</f>
        <v>0</v>
      </c>
      <c r="G29" s="3">
        <f>IF(G9&lt;&gt;"",-(1-UnosPodataka!$M$10)*FinaIndicators!G18,"")</f>
        <v>0</v>
      </c>
      <c r="H29" s="3">
        <f>IF(H9&lt;&gt;"",-(1-UnosPodataka!$M$10)*FinaIndicators!H18,"")</f>
        <v>0</v>
      </c>
      <c r="I29" s="3">
        <f>IF(I9&lt;&gt;"",-(1-UnosPodataka!$M$10)*FinaIndicators!I18,"")</f>
        <v>0</v>
      </c>
      <c r="J29" s="3">
        <f>IF(J9&lt;&gt;"",-(1-UnosPodataka!$M$10)*FinaIndicators!J18,"")</f>
        <v>0</v>
      </c>
      <c r="K29" s="3">
        <f>IF(K9&lt;&gt;"",-(1-UnosPodataka!$M$10)*FinaIndicators!K18,"")</f>
        <v>0</v>
      </c>
      <c r="L29" s="3">
        <f>IF(L9&lt;&gt;"",-(1-UnosPodataka!$M$10)*FinaIndicators!L18,"")</f>
        <v>0</v>
      </c>
      <c r="M29" s="3">
        <f>IF(M9&lt;&gt;"",-(1-UnosPodataka!$M$10)*FinaIndicators!M18,"")</f>
        <v>0</v>
      </c>
      <c r="N29" s="3">
        <f>IF(N9&lt;&gt;"",-(1-UnosPodataka!$M$10)*FinaIndicators!N18,"")</f>
        <v>0</v>
      </c>
      <c r="O29" s="3">
        <f>IF(O9&lt;&gt;"",-(1-UnosPodataka!$M$10)*FinaIndicators!O18,"")</f>
        <v>0</v>
      </c>
      <c r="P29" s="3">
        <f>IF(P9&lt;&gt;"",-(1-UnosPodataka!$M$10)*FinaIndicators!P18,"")</f>
        <v>0</v>
      </c>
      <c r="Q29" s="3">
        <f>IF(Q9&lt;&gt;"",-(1-UnosPodataka!$M$10)*FinaIndicators!Q18,"")</f>
        <v>0</v>
      </c>
      <c r="R29" s="3">
        <f>IF(R9&lt;&gt;"",-(1-UnosPodataka!$M$10)*FinaIndicators!R18,"")</f>
        <v>0</v>
      </c>
      <c r="S29" s="3">
        <f>IF(S9&lt;&gt;"",-(1-UnosPodataka!$M$10)*FinaIndicators!S18,"")</f>
        <v>0</v>
      </c>
      <c r="T29" s="3">
        <f>IF(T9&lt;&gt;"",-(1-UnosPodataka!$M$10)*FinaIndicators!T18,"")</f>
        <v>0</v>
      </c>
      <c r="U29" s="3">
        <f>IF(U9&lt;&gt;"",-(1-UnosPodataka!$M$10)*FinaIndicators!U18,"")</f>
        <v>0</v>
      </c>
      <c r="V29" s="3">
        <f>IF(V9&lt;&gt;"",-(1-UnosPodataka!$M$10)*FinaIndicators!V18,"")</f>
        <v>0</v>
      </c>
      <c r="W29" s="3">
        <f>IF(W9&lt;&gt;"",-(1-UnosPodataka!$M$10)*FinaIndicators!W18,"")</f>
        <v>0</v>
      </c>
      <c r="X29" s="3">
        <f>IF(X9&lt;&gt;"",-(1-UnosPodataka!$M$10)*FinaIndicators!X18,"")</f>
        <v>0</v>
      </c>
      <c r="Y29" s="3">
        <f>IF(Y9&lt;&gt;"",-(1-UnosPodataka!$M$10)*FinaIndicators!Y18,"")</f>
        <v>0</v>
      </c>
    </row>
    <row r="30" spans="1:25" x14ac:dyDescent="0.25">
      <c r="A30" s="76" t="s">
        <v>113</v>
      </c>
      <c r="B30" s="76"/>
      <c r="C30" s="76"/>
      <c r="D30" s="76"/>
      <c r="E30" s="32">
        <f>-SUM(E11:E13)</f>
        <v>-3235000</v>
      </c>
      <c r="F30" s="32">
        <f>IF(F9&lt;&gt;"",SUM(F22:F29),"")</f>
        <v>-1298768.0822925966</v>
      </c>
      <c r="G30" s="32">
        <f t="shared" ref="G30:Y30" si="6">IF(G9&lt;&gt;"",SUM(G22:G29),"")</f>
        <v>-1298768.0822925966</v>
      </c>
      <c r="H30" s="32">
        <f t="shared" si="6"/>
        <v>-1298768.0822925966</v>
      </c>
      <c r="I30" s="32">
        <f t="shared" si="6"/>
        <v>-1298768.0822925966</v>
      </c>
      <c r="J30" s="32">
        <f t="shared" si="6"/>
        <v>-1298768.0822925966</v>
      </c>
      <c r="K30" s="32">
        <f t="shared" si="6"/>
        <v>-1298768.0822925966</v>
      </c>
      <c r="L30" s="32">
        <f t="shared" si="6"/>
        <v>-1298768.0822925966</v>
      </c>
      <c r="M30" s="32">
        <f t="shared" si="6"/>
        <v>-1298768.0822925966</v>
      </c>
      <c r="N30" s="32">
        <f t="shared" si="6"/>
        <v>-1298768.0822925966</v>
      </c>
      <c r="O30" s="32">
        <f t="shared" si="6"/>
        <v>-1298768.0822925966</v>
      </c>
      <c r="P30" s="32">
        <f t="shared" si="6"/>
        <v>-1298768.0822925966</v>
      </c>
      <c r="Q30" s="32">
        <f t="shared" si="6"/>
        <v>-1298768.0822925966</v>
      </c>
      <c r="R30" s="32">
        <f t="shared" si="6"/>
        <v>-1298768.0822925966</v>
      </c>
      <c r="S30" s="32">
        <f t="shared" si="6"/>
        <v>-1298768.0822925966</v>
      </c>
      <c r="T30" s="32">
        <f t="shared" si="6"/>
        <v>-1298768.0822925966</v>
      </c>
      <c r="U30" s="32">
        <f t="shared" si="6"/>
        <v>-1067519.904849601</v>
      </c>
      <c r="V30" s="32">
        <f t="shared" si="6"/>
        <v>-1067519.904849601</v>
      </c>
      <c r="W30" s="32">
        <f t="shared" si="6"/>
        <v>-1067519.904849601</v>
      </c>
      <c r="X30" s="32">
        <f t="shared" si="6"/>
        <v>-1067519.904849601</v>
      </c>
      <c r="Y30" s="32">
        <f t="shared" si="6"/>
        <v>-1067519.904849601</v>
      </c>
    </row>
    <row r="31" spans="1:25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25" x14ac:dyDescent="0.25">
      <c r="A32" t="s">
        <v>188</v>
      </c>
      <c r="E32" s="3">
        <f>-SUM(E11:E13)</f>
        <v>-3235000</v>
      </c>
      <c r="F32" s="3">
        <f>+F30-F28-F35</f>
        <v>-1008060.8147972006</v>
      </c>
      <c r="G32" s="3">
        <f t="shared" ref="G32:Y32" si="7">+G30-G28-G35</f>
        <v>-1008821.2819911746</v>
      </c>
      <c r="H32" s="3">
        <f t="shared" si="7"/>
        <v>-1009673.0052484253</v>
      </c>
      <c r="I32" s="3">
        <f t="shared" si="7"/>
        <v>-1010626.9352965462</v>
      </c>
      <c r="J32" s="3">
        <f t="shared" si="7"/>
        <v>-1011695.3369504416</v>
      </c>
      <c r="K32" s="3">
        <f t="shared" si="7"/>
        <v>-1012891.9468028045</v>
      </c>
      <c r="L32" s="3">
        <f t="shared" si="7"/>
        <v>-1014232.1498374508</v>
      </c>
      <c r="M32" s="3">
        <f t="shared" si="7"/>
        <v>-1015733.1772362548</v>
      </c>
      <c r="N32" s="3">
        <f t="shared" si="7"/>
        <v>-1017414.3279229151</v>
      </c>
      <c r="O32" s="3">
        <f t="shared" si="7"/>
        <v>-1019297.2166919748</v>
      </c>
      <c r="P32" s="3">
        <f t="shared" si="7"/>
        <v>-1021406.0521133216</v>
      </c>
      <c r="Q32" s="3">
        <f t="shared" si="7"/>
        <v>-1023767.9477852301</v>
      </c>
      <c r="R32" s="3">
        <f t="shared" si="7"/>
        <v>-1026413.2709377676</v>
      </c>
      <c r="S32" s="3">
        <f t="shared" si="7"/>
        <v>-1029376.0328686095</v>
      </c>
      <c r="T32" s="3">
        <f t="shared" si="7"/>
        <v>-1032694.3262311525</v>
      </c>
      <c r="U32" s="3">
        <f t="shared" si="7"/>
        <v>-805162.63735420501</v>
      </c>
      <c r="V32" s="3">
        <f t="shared" si="7"/>
        <v>-805162.63735420501</v>
      </c>
      <c r="W32" s="3">
        <f t="shared" si="7"/>
        <v>-805162.63735420501</v>
      </c>
      <c r="X32" s="3">
        <f t="shared" si="7"/>
        <v>-805162.63735420501</v>
      </c>
      <c r="Y32" s="3">
        <f t="shared" si="7"/>
        <v>-805162.63735420501</v>
      </c>
    </row>
    <row r="33" spans="1:25" x14ac:dyDescent="0.25">
      <c r="A33" s="65" t="s">
        <v>149</v>
      </c>
      <c r="B33" s="65"/>
      <c r="C33" s="65"/>
      <c r="D33" s="65"/>
      <c r="F33" s="3">
        <f>IF(F9&lt;&gt;"",F19+F30-F23,"")</f>
        <v>218618.21669736027</v>
      </c>
      <c r="G33" s="3">
        <f t="shared" ref="G33:Y33" si="8">IF(G9&lt;&gt;"",G19+G30-G23,"")</f>
        <v>223687.99799051971</v>
      </c>
      <c r="H33" s="3">
        <f t="shared" si="8"/>
        <v>229366.15303885829</v>
      </c>
      <c r="I33" s="3">
        <f t="shared" si="8"/>
        <v>235725.68669299749</v>
      </c>
      <c r="J33" s="3">
        <f t="shared" si="8"/>
        <v>242848.36438563344</v>
      </c>
      <c r="K33" s="3">
        <f t="shared" si="8"/>
        <v>250825.76340138569</v>
      </c>
      <c r="L33" s="3">
        <f t="shared" si="8"/>
        <v>259760.45029902819</v>
      </c>
      <c r="M33" s="3">
        <f t="shared" si="8"/>
        <v>269767.29962438776</v>
      </c>
      <c r="N33" s="3">
        <f t="shared" si="8"/>
        <v>280974.97086879052</v>
      </c>
      <c r="O33" s="3">
        <f t="shared" si="8"/>
        <v>293527.56266252161</v>
      </c>
      <c r="P33" s="3">
        <f t="shared" si="8"/>
        <v>307586.46547150047</v>
      </c>
      <c r="Q33" s="3">
        <f t="shared" si="8"/>
        <v>323332.43661755673</v>
      </c>
      <c r="R33" s="3">
        <f t="shared" si="8"/>
        <v>340967.92430113978</v>
      </c>
      <c r="S33" s="3">
        <f t="shared" si="8"/>
        <v>360719.67050675279</v>
      </c>
      <c r="T33" s="3">
        <f t="shared" si="8"/>
        <v>382841.62625703932</v>
      </c>
      <c r="U33" s="3">
        <f t="shared" si="8"/>
        <v>407618.21669736039</v>
      </c>
      <c r="V33" s="3">
        <f t="shared" si="8"/>
        <v>407618.21669736039</v>
      </c>
      <c r="W33" s="3">
        <f t="shared" si="8"/>
        <v>407618.21669736039</v>
      </c>
      <c r="X33" s="3">
        <f t="shared" si="8"/>
        <v>407618.21669736039</v>
      </c>
      <c r="Y33" s="3">
        <f t="shared" si="8"/>
        <v>407618.21669736039</v>
      </c>
    </row>
    <row r="34" spans="1:25" x14ac:dyDescent="0.25">
      <c r="A34" s="67"/>
      <c r="B34" s="67"/>
      <c r="C34" s="67"/>
      <c r="D34" s="67"/>
      <c r="F34" s="3"/>
    </row>
    <row r="35" spans="1:25" x14ac:dyDescent="0.25">
      <c r="A35" s="73" t="s">
        <v>114</v>
      </c>
      <c r="B35" s="73"/>
      <c r="C35" s="73"/>
      <c r="D35" s="73"/>
      <c r="F35" s="3">
        <f>IF(F9&lt;&gt;"",IF(F33&gt;0,F33*VAT,0),"")</f>
        <v>32792.732504604042</v>
      </c>
      <c r="G35" s="3">
        <f t="shared" ref="G35:Y35" si="9">IF(G9&lt;&gt;"",IF(G33&gt;0,G33*VAT,0),"")</f>
        <v>33553.199698577955</v>
      </c>
      <c r="H35" s="3">
        <f t="shared" si="9"/>
        <v>34404.922955828741</v>
      </c>
      <c r="I35" s="3">
        <f t="shared" si="9"/>
        <v>35358.853003949625</v>
      </c>
      <c r="J35" s="3">
        <f t="shared" si="9"/>
        <v>36427.254657845013</v>
      </c>
      <c r="K35" s="3">
        <f t="shared" si="9"/>
        <v>37623.864510207852</v>
      </c>
      <c r="L35" s="3">
        <f t="shared" si="9"/>
        <v>38964.067544854224</v>
      </c>
      <c r="M35" s="3">
        <f t="shared" si="9"/>
        <v>40465.094943658165</v>
      </c>
      <c r="N35" s="3">
        <f t="shared" si="9"/>
        <v>42146.245630318575</v>
      </c>
      <c r="O35" s="3">
        <f t="shared" si="9"/>
        <v>44029.134399378243</v>
      </c>
      <c r="P35" s="3">
        <f t="shared" si="9"/>
        <v>46137.969820725069</v>
      </c>
      <c r="Q35" s="3">
        <f t="shared" si="9"/>
        <v>48499.865492633508</v>
      </c>
      <c r="R35" s="3">
        <f t="shared" si="9"/>
        <v>51145.188645170965</v>
      </c>
      <c r="S35" s="3">
        <f t="shared" si="9"/>
        <v>54107.950576012918</v>
      </c>
      <c r="T35" s="3">
        <f t="shared" si="9"/>
        <v>57426.243938555897</v>
      </c>
      <c r="U35" s="3">
        <f t="shared" si="9"/>
        <v>61142.732504604057</v>
      </c>
      <c r="V35" s="3">
        <f t="shared" si="9"/>
        <v>61142.732504604057</v>
      </c>
      <c r="W35" s="3">
        <f t="shared" si="9"/>
        <v>61142.732504604057</v>
      </c>
      <c r="X35" s="3">
        <f t="shared" si="9"/>
        <v>61142.732504604057</v>
      </c>
      <c r="Y35" s="3">
        <f t="shared" si="9"/>
        <v>61142.732504604057</v>
      </c>
    </row>
    <row r="36" spans="1:25" x14ac:dyDescent="0.25">
      <c r="A36" s="65" t="s">
        <v>115</v>
      </c>
      <c r="B36" s="65"/>
      <c r="C36" s="65"/>
      <c r="D36" s="65"/>
      <c r="E36" s="31"/>
      <c r="F36" s="32">
        <f>IF(F9&lt;&gt;"",F33-F35,"")</f>
        <v>185825.48419275624</v>
      </c>
      <c r="G36" s="32">
        <f t="shared" ref="G36:Y36" si="10">IF(G9&lt;&gt;"",G33-G35,"")</f>
        <v>190134.79829194176</v>
      </c>
      <c r="H36" s="32">
        <f t="shared" si="10"/>
        <v>194961.23008302954</v>
      </c>
      <c r="I36" s="32">
        <f t="shared" si="10"/>
        <v>200366.83368904787</v>
      </c>
      <c r="J36" s="32">
        <f t="shared" si="10"/>
        <v>206421.10972778843</v>
      </c>
      <c r="K36" s="32">
        <f t="shared" si="10"/>
        <v>213201.89889117784</v>
      </c>
      <c r="L36" s="32">
        <f t="shared" si="10"/>
        <v>220796.38275417397</v>
      </c>
      <c r="M36" s="32">
        <f t="shared" si="10"/>
        <v>229302.2046807296</v>
      </c>
      <c r="N36" s="32">
        <f t="shared" si="10"/>
        <v>238828.72523847193</v>
      </c>
      <c r="O36" s="32">
        <f t="shared" si="10"/>
        <v>249498.42826314337</v>
      </c>
      <c r="P36" s="32">
        <f t="shared" si="10"/>
        <v>261448.49565077541</v>
      </c>
      <c r="Q36" s="32">
        <f t="shared" si="10"/>
        <v>274832.57112492324</v>
      </c>
      <c r="R36" s="32">
        <f t="shared" si="10"/>
        <v>289822.73565596883</v>
      </c>
      <c r="S36" s="32">
        <f t="shared" si="10"/>
        <v>306611.7199307399</v>
      </c>
      <c r="T36" s="32">
        <f t="shared" si="10"/>
        <v>325415.38231848343</v>
      </c>
      <c r="U36" s="32">
        <f t="shared" si="10"/>
        <v>346475.48419275635</v>
      </c>
      <c r="V36" s="32">
        <f t="shared" si="10"/>
        <v>346475.48419275635</v>
      </c>
      <c r="W36" s="32">
        <f t="shared" si="10"/>
        <v>346475.48419275635</v>
      </c>
      <c r="X36" s="32">
        <f t="shared" si="10"/>
        <v>346475.48419275635</v>
      </c>
      <c r="Y36" s="32">
        <f t="shared" si="10"/>
        <v>346475.48419275635</v>
      </c>
    </row>
    <row r="37" spans="1:25" x14ac:dyDescent="0.25">
      <c r="A37" s="77"/>
      <c r="B37" s="77"/>
      <c r="C37" s="77"/>
      <c r="D37" s="77"/>
    </row>
    <row r="38" spans="1:25" x14ac:dyDescent="0.25">
      <c r="A38" s="33" t="s">
        <v>169</v>
      </c>
      <c r="B38" s="18"/>
      <c r="C38" s="18"/>
      <c r="D38" s="18"/>
      <c r="E38" s="3">
        <f>-SUM(E11:E13)</f>
        <v>-3235000</v>
      </c>
      <c r="F38" s="3">
        <f>+F36+F23-F28</f>
        <v>467077.30674976076</v>
      </c>
      <c r="G38" s="3">
        <f t="shared" ref="G38:Y38" si="11">+G36+G23-G28</f>
        <v>466316.83955578681</v>
      </c>
      <c r="H38" s="3">
        <f t="shared" si="11"/>
        <v>465465.11629853607</v>
      </c>
      <c r="I38" s="3">
        <f t="shared" si="11"/>
        <v>464511.18625041516</v>
      </c>
      <c r="J38" s="3">
        <f t="shared" si="11"/>
        <v>463442.78459651978</v>
      </c>
      <c r="K38" s="3">
        <f t="shared" si="11"/>
        <v>462246.17474415695</v>
      </c>
      <c r="L38" s="3">
        <f t="shared" si="11"/>
        <v>460905.97170951054</v>
      </c>
      <c r="M38" s="3">
        <f t="shared" si="11"/>
        <v>459404.94431070663</v>
      </c>
      <c r="N38" s="3">
        <f t="shared" si="11"/>
        <v>457723.7936240462</v>
      </c>
      <c r="O38" s="3">
        <f t="shared" si="11"/>
        <v>455840.90485498653</v>
      </c>
      <c r="P38" s="3">
        <f t="shared" si="11"/>
        <v>453732.06943363976</v>
      </c>
      <c r="Q38" s="3">
        <f t="shared" si="11"/>
        <v>451370.1737617313</v>
      </c>
      <c r="R38" s="3">
        <f t="shared" si="11"/>
        <v>448724.85060919385</v>
      </c>
      <c r="S38" s="3">
        <f t="shared" si="11"/>
        <v>445762.08867835195</v>
      </c>
      <c r="T38" s="3">
        <f t="shared" si="11"/>
        <v>442443.79531580891</v>
      </c>
      <c r="U38" s="3">
        <f t="shared" si="11"/>
        <v>669975.48419275635</v>
      </c>
      <c r="V38" s="3">
        <f t="shared" si="11"/>
        <v>669975.48419275635</v>
      </c>
      <c r="W38" s="3">
        <f t="shared" si="11"/>
        <v>669975.48419275635</v>
      </c>
      <c r="X38" s="3">
        <f t="shared" si="11"/>
        <v>669975.48419275635</v>
      </c>
      <c r="Y38" s="3">
        <f t="shared" si="11"/>
        <v>669975.48419275635</v>
      </c>
    </row>
    <row r="39" spans="1:25" x14ac:dyDescent="0.25">
      <c r="A39" s="33" t="s">
        <v>151</v>
      </c>
      <c r="B39" s="18"/>
      <c r="C39" s="18"/>
      <c r="D39" s="18"/>
      <c r="E39" s="3">
        <f>+E38</f>
        <v>-3235000</v>
      </c>
      <c r="F39" s="3">
        <f>+E39+F38</f>
        <v>-2767922.6932502394</v>
      </c>
      <c r="G39" s="3">
        <f t="shared" ref="G39:Y39" si="12">+F39+G38</f>
        <v>-2301605.8536944524</v>
      </c>
      <c r="H39" s="3">
        <f t="shared" si="12"/>
        <v>-1836140.7373959164</v>
      </c>
      <c r="I39" s="3">
        <f t="shared" si="12"/>
        <v>-1371629.5511455012</v>
      </c>
      <c r="J39" s="3">
        <f t="shared" si="12"/>
        <v>-908186.76654898142</v>
      </c>
      <c r="K39" s="3">
        <f t="shared" si="12"/>
        <v>-445940.59180482448</v>
      </c>
      <c r="L39" s="3">
        <f t="shared" si="12"/>
        <v>14965.379904686066</v>
      </c>
      <c r="M39" s="3">
        <f t="shared" si="12"/>
        <v>474370.3242153927</v>
      </c>
      <c r="N39" s="3">
        <f t="shared" si="12"/>
        <v>932094.11783943884</v>
      </c>
      <c r="O39" s="3">
        <f t="shared" si="12"/>
        <v>1387935.0226944254</v>
      </c>
      <c r="P39" s="3">
        <f t="shared" si="12"/>
        <v>1841667.0921280652</v>
      </c>
      <c r="Q39" s="3">
        <f t="shared" si="12"/>
        <v>2293037.2658897964</v>
      </c>
      <c r="R39" s="3">
        <f t="shared" si="12"/>
        <v>2741762.1164989905</v>
      </c>
      <c r="S39" s="3">
        <f t="shared" si="12"/>
        <v>3187524.2051773425</v>
      </c>
      <c r="T39" s="3">
        <f t="shared" si="12"/>
        <v>3629968.0004931516</v>
      </c>
      <c r="U39" s="3">
        <f t="shared" si="12"/>
        <v>4299943.4846859081</v>
      </c>
      <c r="V39" s="3">
        <f t="shared" si="12"/>
        <v>4969918.9688786641</v>
      </c>
      <c r="W39" s="3">
        <f t="shared" si="12"/>
        <v>5639894.4530714201</v>
      </c>
      <c r="X39" s="3">
        <f t="shared" si="12"/>
        <v>6309869.9372641761</v>
      </c>
      <c r="Y39" s="3">
        <f t="shared" si="12"/>
        <v>6979845.4214569321</v>
      </c>
    </row>
    <row r="40" spans="1:25" x14ac:dyDescent="0.25">
      <c r="A40" s="18"/>
      <c r="B40" s="18"/>
      <c r="C40" s="18"/>
      <c r="D40" s="18"/>
    </row>
    <row r="41" spans="1:25" x14ac:dyDescent="0.25">
      <c r="A41" s="33" t="s">
        <v>73</v>
      </c>
      <c r="B41" s="18"/>
      <c r="C41" s="18"/>
      <c r="D41" s="18"/>
      <c r="E41" s="7">
        <f>+PomTab1!L27</f>
        <v>6.0225656877897993E-2</v>
      </c>
    </row>
    <row r="42" spans="1:25" x14ac:dyDescent="0.25">
      <c r="A42" s="33" t="s">
        <v>152</v>
      </c>
      <c r="B42" s="18"/>
      <c r="C42" s="18"/>
      <c r="D42" s="18"/>
      <c r="E42" s="3">
        <f>IF(E9&lt;&gt;"",E38*(1+$E$41)^-E9,"")</f>
        <v>-3235000</v>
      </c>
      <c r="F42" s="3">
        <f>IF(F9&lt;&gt;"",F38*(1+$E$41)^-F9,"")</f>
        <v>440545.18367833854</v>
      </c>
      <c r="G42" s="3">
        <f>IF(G9&lt;&gt;"",G38*(1+$E$41)^-G9,"")</f>
        <v>414843.68128520774</v>
      </c>
      <c r="H42" s="3">
        <f t="shared" ref="H42:X42" si="13">IF(H9&lt;&gt;"",H38*(1+$E$41)^-H9,"")</f>
        <v>390563.99981839285</v>
      </c>
      <c r="I42" s="3">
        <f t="shared" si="13"/>
        <v>367623.22297094809</v>
      </c>
      <c r="J42" s="3">
        <f t="shared" si="13"/>
        <v>345943.0232241521</v>
      </c>
      <c r="K42" s="3">
        <f t="shared" si="13"/>
        <v>325449.39434821147</v>
      </c>
      <c r="L42" s="3">
        <f t="shared" si="13"/>
        <v>306072.39871278626</v>
      </c>
      <c r="M42" s="3">
        <f t="shared" si="13"/>
        <v>287745.9285443445</v>
      </c>
      <c r="N42" s="3">
        <f t="shared" si="13"/>
        <v>270407.48031515238</v>
      </c>
      <c r="O42" s="3">
        <f t="shared" si="13"/>
        <v>253997.94149371749</v>
      </c>
      <c r="P42" s="3">
        <f t="shared" si="13"/>
        <v>238461.38892888578</v>
      </c>
      <c r="Q42" s="3">
        <f t="shared" si="13"/>
        <v>223744.89817969335</v>
      </c>
      <c r="R42" s="3">
        <f t="shared" si="13"/>
        <v>209798.3631406214</v>
      </c>
      <c r="S42" s="3">
        <f t="shared" si="13"/>
        <v>196574.32534723615</v>
      </c>
      <c r="T42" s="3">
        <f t="shared" si="13"/>
        <v>184027.81238042947</v>
      </c>
      <c r="U42" s="3">
        <f t="shared" si="13"/>
        <v>262836.6698111791</v>
      </c>
      <c r="V42" s="3">
        <f t="shared" si="13"/>
        <v>247906.34720646928</v>
      </c>
      <c r="W42" s="3">
        <f t="shared" si="13"/>
        <v>233824.13507751928</v>
      </c>
      <c r="X42" s="3">
        <f t="shared" si="13"/>
        <v>220541.85687797205</v>
      </c>
      <c r="Y42" s="3">
        <f>IF(Y9&lt;&gt;"",Y38*(1+$E$41)^-'FinInd+CO2'!Y9,"")</f>
        <v>208014.07270921287</v>
      </c>
    </row>
    <row r="43" spans="1:25" x14ac:dyDescent="0.25">
      <c r="A43" s="33" t="s">
        <v>159</v>
      </c>
      <c r="B43" s="18"/>
      <c r="C43" s="18"/>
      <c r="D43" s="18"/>
      <c r="E43" s="3">
        <f>+E42</f>
        <v>-3235000</v>
      </c>
      <c r="F43" s="3">
        <f>+E43+F42</f>
        <v>-2794454.8163216617</v>
      </c>
      <c r="G43" s="3">
        <f t="shared" ref="G43:Y43" si="14">+F43+G42</f>
        <v>-2379611.1350364541</v>
      </c>
      <c r="H43" s="3">
        <f t="shared" si="14"/>
        <v>-1989047.1352180613</v>
      </c>
      <c r="I43" s="3">
        <f t="shared" si="14"/>
        <v>-1621423.9122471132</v>
      </c>
      <c r="J43" s="3">
        <f t="shared" si="14"/>
        <v>-1275480.889022961</v>
      </c>
      <c r="K43" s="3">
        <f t="shared" si="14"/>
        <v>-950031.49467474956</v>
      </c>
      <c r="L43" s="3">
        <f t="shared" si="14"/>
        <v>-643959.09596196329</v>
      </c>
      <c r="M43" s="3">
        <f t="shared" si="14"/>
        <v>-356213.1674176188</v>
      </c>
      <c r="N43" s="3">
        <f t="shared" si="14"/>
        <v>-85805.687102466414</v>
      </c>
      <c r="O43" s="3">
        <f t="shared" si="14"/>
        <v>168192.25439125107</v>
      </c>
      <c r="P43" s="3">
        <f t="shared" si="14"/>
        <v>406653.64332013682</v>
      </c>
      <c r="Q43" s="3">
        <f t="shared" si="14"/>
        <v>630398.5414998302</v>
      </c>
      <c r="R43" s="3">
        <f t="shared" si="14"/>
        <v>840196.90464045154</v>
      </c>
      <c r="S43" s="3">
        <f t="shared" si="14"/>
        <v>1036771.2299876877</v>
      </c>
      <c r="T43" s="3">
        <f t="shared" si="14"/>
        <v>1220799.0423681173</v>
      </c>
      <c r="U43" s="3">
        <f t="shared" si="14"/>
        <v>1483635.7121792964</v>
      </c>
      <c r="V43" s="3">
        <f t="shared" si="14"/>
        <v>1731542.0593857658</v>
      </c>
      <c r="W43" s="3">
        <f t="shared" si="14"/>
        <v>1965366.1944632852</v>
      </c>
      <c r="X43" s="3">
        <f t="shared" si="14"/>
        <v>2185908.0513412571</v>
      </c>
      <c r="Y43" s="3">
        <f t="shared" si="14"/>
        <v>2393922.1240504701</v>
      </c>
    </row>
    <row r="44" spans="1:25" x14ac:dyDescent="0.25">
      <c r="A44" s="33"/>
      <c r="B44" s="18"/>
      <c r="C44" s="18"/>
      <c r="D44" s="18"/>
      <c r="J44" s="3"/>
    </row>
    <row r="45" spans="1:25" x14ac:dyDescent="0.25">
      <c r="A45" s="41" t="s">
        <v>160</v>
      </c>
      <c r="B45" s="42"/>
      <c r="C45" s="42"/>
      <c r="D45" s="42"/>
      <c r="E45" s="49">
        <f>+NPV(E41,E38:Y38)</f>
        <v>2257936.4199692905</v>
      </c>
      <c r="F45" s="43"/>
      <c r="G45" s="3"/>
      <c r="H45" s="3"/>
      <c r="I45" s="3"/>
      <c r="J45" s="3"/>
      <c r="M45" s="34"/>
    </row>
    <row r="46" spans="1:25" x14ac:dyDescent="0.25">
      <c r="A46" s="41" t="s">
        <v>161</v>
      </c>
      <c r="B46" s="42"/>
      <c r="C46" s="42"/>
      <c r="D46" s="42"/>
      <c r="E46" s="45">
        <f>+IRR(E38:Y38,10%)</f>
        <v>0.13594824073286826</v>
      </c>
      <c r="F46" s="44"/>
      <c r="G46" s="3"/>
      <c r="H46" s="3"/>
      <c r="I46" s="3"/>
      <c r="J46" s="3"/>
      <c r="K46" s="3"/>
      <c r="M46" s="34"/>
      <c r="T46" s="3"/>
    </row>
    <row r="47" spans="1:25" x14ac:dyDescent="0.25">
      <c r="A47" s="41" t="s">
        <v>162</v>
      </c>
      <c r="B47" s="42"/>
      <c r="C47" s="42"/>
      <c r="D47" s="42"/>
      <c r="E47" s="49" cm="1">
        <f t="array" ref="E47">+NPV(E41,F19:Y19/-NPV(E41,E32:Y32))</f>
        <v>1.2353291353167228</v>
      </c>
      <c r="F47" s="44"/>
      <c r="H47" s="3"/>
      <c r="I47" s="3"/>
      <c r="J47" s="3"/>
      <c r="M47" s="34"/>
      <c r="T47" s="3"/>
    </row>
    <row r="48" spans="1:25" x14ac:dyDescent="0.25">
      <c r="A48" s="41" t="s">
        <v>163</v>
      </c>
      <c r="B48" s="42"/>
      <c r="C48" s="42"/>
      <c r="D48" s="42"/>
      <c r="E48" s="52" cm="1">
        <f t="array" ref="E48">+LOOKUP(INDEX(E39:Y39,MATCH(TRUE,E39:Y39&gt;0,0)),E39:Y39,E9:Y9)</f>
        <v>7</v>
      </c>
      <c r="F48" s="44" t="s">
        <v>164</v>
      </c>
      <c r="H48" s="3"/>
      <c r="I48" s="3"/>
      <c r="J48" s="3"/>
    </row>
    <row r="49" spans="1:26" x14ac:dyDescent="0.25">
      <c r="A49" s="41" t="s">
        <v>165</v>
      </c>
      <c r="B49" s="42"/>
      <c r="C49" s="42"/>
      <c r="D49" s="42"/>
      <c r="E49" s="52" cm="1">
        <f t="array" ref="E49">+LOOKUP(INDEX(E43:Y43,MATCH(TRUE,E43:Y43&gt;0,0)),E43:Y43,E9:Y9)</f>
        <v>10</v>
      </c>
      <c r="F49" s="44" t="s">
        <v>164</v>
      </c>
    </row>
    <row r="50" spans="1:26" x14ac:dyDescent="0.25">
      <c r="A50" s="33"/>
      <c r="B50" s="18"/>
      <c r="C50" s="18"/>
      <c r="D50" s="18"/>
      <c r="E50" s="35"/>
    </row>
    <row r="52" spans="1:26" x14ac:dyDescent="0.25">
      <c r="A52" s="73" t="s">
        <v>175</v>
      </c>
      <c r="B52" s="73"/>
      <c r="C52" s="73"/>
      <c r="D52" s="73"/>
      <c r="E52" s="3">
        <f>IF(E9&lt;&gt;"",E32,"")</f>
        <v>-3235000</v>
      </c>
      <c r="F52" s="3">
        <f>IF(F9&lt;&gt;"",F32,"")</f>
        <v>-1008060.8147972006</v>
      </c>
      <c r="G52" s="3">
        <f t="shared" ref="G52:Y52" si="15">IF(G9&lt;&gt;"",G32,"")</f>
        <v>-1008821.2819911746</v>
      </c>
      <c r="H52" s="3">
        <f t="shared" si="15"/>
        <v>-1009673.0052484253</v>
      </c>
      <c r="I52" s="3">
        <f t="shared" si="15"/>
        <v>-1010626.9352965462</v>
      </c>
      <c r="J52" s="3">
        <f t="shared" si="15"/>
        <v>-1011695.3369504416</v>
      </c>
      <c r="K52" s="3">
        <f t="shared" si="15"/>
        <v>-1012891.9468028045</v>
      </c>
      <c r="L52" s="3">
        <f t="shared" si="15"/>
        <v>-1014232.1498374508</v>
      </c>
      <c r="M52" s="3">
        <f t="shared" si="15"/>
        <v>-1015733.1772362548</v>
      </c>
      <c r="N52" s="3">
        <f t="shared" si="15"/>
        <v>-1017414.3279229151</v>
      </c>
      <c r="O52" s="3">
        <f t="shared" si="15"/>
        <v>-1019297.2166919748</v>
      </c>
      <c r="P52" s="3">
        <f t="shared" si="15"/>
        <v>-1021406.0521133216</v>
      </c>
      <c r="Q52" s="3">
        <f t="shared" si="15"/>
        <v>-1023767.9477852301</v>
      </c>
      <c r="R52" s="3">
        <f t="shared" si="15"/>
        <v>-1026413.2709377676</v>
      </c>
      <c r="S52" s="3">
        <f t="shared" si="15"/>
        <v>-1029376.0328686095</v>
      </c>
      <c r="T52" s="3">
        <f t="shared" si="15"/>
        <v>-1032694.3262311525</v>
      </c>
      <c r="U52" s="3">
        <f t="shared" si="15"/>
        <v>-805162.63735420501</v>
      </c>
      <c r="V52" s="3">
        <f t="shared" si="15"/>
        <v>-805162.63735420501</v>
      </c>
      <c r="W52" s="3">
        <f t="shared" si="15"/>
        <v>-805162.63735420501</v>
      </c>
      <c r="X52" s="3">
        <f t="shared" si="15"/>
        <v>-805162.63735420501</v>
      </c>
      <c r="Y52" s="3">
        <f t="shared" si="15"/>
        <v>-805162.63735420501</v>
      </c>
      <c r="Z52" s="3"/>
    </row>
    <row r="53" spans="1:26" x14ac:dyDescent="0.25">
      <c r="A53" s="73" t="s">
        <v>173</v>
      </c>
      <c r="B53" s="73"/>
      <c r="C53" s="73"/>
      <c r="D53" s="73"/>
      <c r="E53" s="3">
        <f>IF(E9&lt;&gt;"",E52*(1+FDS)^-FinaIndicators!E9,"")</f>
        <v>-3235000</v>
      </c>
      <c r="F53" s="3">
        <f>IF(F9&lt;&gt;"",F52*(1+FDS)^-F9,"")</f>
        <v>-950798.35906413547</v>
      </c>
      <c r="G53" s="3">
        <f>IF(G9&lt;&gt;"",G52*(1+FDS)^-FinaIndicators!G9,"")</f>
        <v>-897465.19722244516</v>
      </c>
      <c r="H53" s="3">
        <f>IF(H9&lt;&gt;"",H52*(1+FDS)^-FinaIndicators!H9,"")</f>
        <v>-847199.74414916732</v>
      </c>
      <c r="I53" s="3">
        <f>IF(I9&lt;&gt;"",I52*(1+FDS)^-FinaIndicators!I9,"")</f>
        <v>-799829.89037142065</v>
      </c>
      <c r="J53" s="3">
        <f>IF(J9&lt;&gt;"",J52*(1+FDS)^-FinaIndicators!J9,"")</f>
        <v>-755193.42425649927</v>
      </c>
      <c r="K53" s="3">
        <f>IF(K9&lt;&gt;"",K52*(1+FDS)^-FinaIndicators!K9,"")</f>
        <v>-713137.4766045491</v>
      </c>
      <c r="L53" s="3">
        <f>IF(L9&lt;&gt;"",L52*(1+FDS)^-FinaIndicators!L9,"")</f>
        <v>-673517.99717627547</v>
      </c>
      <c r="M53" s="3">
        <f>IF(M9&lt;&gt;"",M52*(1+FDS)^-FinaIndicators!M9,"")</f>
        <v>-636199.26136335183</v>
      </c>
      <c r="N53" s="3">
        <f>IF(N9&lt;&gt;"",N52*(1+FDS)^-FinaIndicators!N9,"")</f>
        <v>-601053.40531223943</v>
      </c>
      <c r="O53" s="3">
        <f>IF(O9&lt;&gt;"",O52*(1+FDS)^-FinaIndicators!O9,"")</f>
        <v>-567959.98790937627</v>
      </c>
      <c r="P53" s="3">
        <f>IF(P9&lt;&gt;"",P52*(1+FDS)^-FinaIndicators!P9,"")</f>
        <v>-536805.5781275013</v>
      </c>
      <c r="Q53" s="3">
        <f>IF(Q9&lt;&gt;"",Q52*(1+FDS)^-FinaIndicators!Q9,"")</f>
        <v>-507483.36631954182</v>
      </c>
      <c r="R53" s="3">
        <f>IF(R9&lt;&gt;"",R52*(1+FDS)^-FinaIndicators!R9,"")</f>
        <v>-479892.79812831187</v>
      </c>
      <c r="S53" s="3">
        <f>IF(S9&lt;&gt;"",S52*(1+FDS)^-FinaIndicators!S9,"")</f>
        <v>-453939.2297575355</v>
      </c>
      <c r="T53" s="3">
        <f>IF(T9&lt;&gt;"",T52*(1+FDS)^-FinaIndicators!T9,"")</f>
        <v>-429533.6034226676</v>
      </c>
      <c r="U53" s="3">
        <f>IF(U9&lt;&gt;"",U52*(1+FDS)^-FinaIndicators!U9,"")</f>
        <v>-315871.65687644633</v>
      </c>
      <c r="V53" s="3">
        <f>IF(V9&lt;&gt;"",V52*(1+FDS)^-FinaIndicators!V9,"")</f>
        <v>-297928.704919866</v>
      </c>
      <c r="W53" s="3">
        <f>IF(W9&lt;&gt;"",W52*(1+FDS)^-FinaIndicators!W9,"")</f>
        <v>-281004.99453785358</v>
      </c>
      <c r="X53" s="3">
        <f>IF(X9&lt;&gt;"",X52*(1+FDS)^-FinaIndicators!X9,"")</f>
        <v>-265042.6281564848</v>
      </c>
      <c r="Y53" s="3">
        <f>IF(Y9&lt;&gt;"",Y52*(1+FDS)^-FinaIndicators!Y9,"")</f>
        <v>-249986.99704831679</v>
      </c>
      <c r="Z53" s="3"/>
    </row>
    <row r="54" spans="1:26" x14ac:dyDescent="0.25">
      <c r="A54" s="73" t="s">
        <v>174</v>
      </c>
      <c r="B54" s="73"/>
      <c r="C54" s="73"/>
      <c r="D54" s="73"/>
      <c r="E54" s="3">
        <f>-E53</f>
        <v>3235000</v>
      </c>
      <c r="F54" s="3">
        <f>IF(F9&lt;&gt;"",E54-F53,"")</f>
        <v>4185798.3590641357</v>
      </c>
      <c r="G54" s="3">
        <f t="shared" ref="G54:Y54" si="16">IF(G9&lt;&gt;"",F54-G53,"")</f>
        <v>5083263.5562865809</v>
      </c>
      <c r="H54" s="3">
        <f t="shared" si="16"/>
        <v>5930463.300435748</v>
      </c>
      <c r="I54" s="3">
        <f t="shared" si="16"/>
        <v>6730293.1908071684</v>
      </c>
      <c r="J54" s="3">
        <f t="shared" si="16"/>
        <v>7485486.6150636673</v>
      </c>
      <c r="K54" s="3">
        <f t="shared" si="16"/>
        <v>8198624.0916682165</v>
      </c>
      <c r="L54" s="3">
        <f t="shared" si="16"/>
        <v>8872142.0888444912</v>
      </c>
      <c r="M54" s="3">
        <f t="shared" si="16"/>
        <v>9508341.3502078429</v>
      </c>
      <c r="N54" s="3">
        <f t="shared" si="16"/>
        <v>10109394.755520083</v>
      </c>
      <c r="O54" s="3">
        <f t="shared" si="16"/>
        <v>10677354.74342946</v>
      </c>
      <c r="P54" s="3">
        <f t="shared" si="16"/>
        <v>11214160.321556961</v>
      </c>
      <c r="Q54" s="3">
        <f t="shared" si="16"/>
        <v>11721643.687876504</v>
      </c>
      <c r="R54" s="3">
        <f t="shared" si="16"/>
        <v>12201536.486004816</v>
      </c>
      <c r="S54" s="3">
        <f t="shared" si="16"/>
        <v>12655475.715762353</v>
      </c>
      <c r="T54" s="3">
        <f t="shared" si="16"/>
        <v>13085009.31918502</v>
      </c>
      <c r="U54" s="3">
        <f t="shared" si="16"/>
        <v>13400880.976061467</v>
      </c>
      <c r="V54" s="3">
        <f t="shared" si="16"/>
        <v>13698809.680981332</v>
      </c>
      <c r="W54" s="3">
        <f t="shared" si="16"/>
        <v>13979814.675519185</v>
      </c>
      <c r="X54" s="3">
        <f t="shared" si="16"/>
        <v>14244857.30367567</v>
      </c>
      <c r="Y54" s="3">
        <f t="shared" si="16"/>
        <v>14494844.300723987</v>
      </c>
    </row>
    <row r="55" spans="1:26" x14ac:dyDescent="0.25">
      <c r="A55" s="73" t="s">
        <v>189</v>
      </c>
      <c r="B55" s="73"/>
      <c r="C55" s="73"/>
      <c r="D55" s="73"/>
      <c r="F55" s="3">
        <f t="shared" ref="F55:Y55" si="17">IF(F9&lt;&gt;"",F19,"")</f>
        <v>1475138.1215469614</v>
      </c>
      <c r="G55" s="3">
        <f t="shared" si="17"/>
        <v>1475138.1215469614</v>
      </c>
      <c r="H55" s="3">
        <f t="shared" si="17"/>
        <v>1475138.1215469614</v>
      </c>
      <c r="I55" s="3">
        <f t="shared" si="17"/>
        <v>1475138.1215469614</v>
      </c>
      <c r="J55" s="3">
        <f t="shared" si="17"/>
        <v>1475138.1215469614</v>
      </c>
      <c r="K55" s="3">
        <f t="shared" si="17"/>
        <v>1475138.1215469614</v>
      </c>
      <c r="L55" s="3">
        <f t="shared" si="17"/>
        <v>1475138.1215469614</v>
      </c>
      <c r="M55" s="3">
        <f t="shared" si="17"/>
        <v>1475138.1215469614</v>
      </c>
      <c r="N55" s="3">
        <f t="shared" si="17"/>
        <v>1475138.1215469614</v>
      </c>
      <c r="O55" s="3">
        <f t="shared" si="17"/>
        <v>1475138.1215469614</v>
      </c>
      <c r="P55" s="3">
        <f t="shared" si="17"/>
        <v>1475138.1215469614</v>
      </c>
      <c r="Q55" s="3">
        <f t="shared" si="17"/>
        <v>1475138.1215469614</v>
      </c>
      <c r="R55" s="3">
        <f t="shared" si="17"/>
        <v>1475138.1215469614</v>
      </c>
      <c r="S55" s="3">
        <f t="shared" si="17"/>
        <v>1475138.1215469614</v>
      </c>
      <c r="T55" s="3">
        <f t="shared" si="17"/>
        <v>1475138.1215469614</v>
      </c>
      <c r="U55" s="3">
        <f t="shared" si="17"/>
        <v>1475138.1215469614</v>
      </c>
      <c r="V55" s="3">
        <f t="shared" si="17"/>
        <v>1475138.1215469614</v>
      </c>
      <c r="W55" s="3">
        <f t="shared" si="17"/>
        <v>1475138.1215469614</v>
      </c>
      <c r="X55" s="3">
        <f t="shared" si="17"/>
        <v>1475138.1215469614</v>
      </c>
      <c r="Y55" s="3">
        <f t="shared" si="17"/>
        <v>1475138.1215469614</v>
      </c>
    </row>
    <row r="56" spans="1:26" x14ac:dyDescent="0.25">
      <c r="A56" s="73" t="s">
        <v>171</v>
      </c>
      <c r="B56" s="73"/>
      <c r="C56" s="73"/>
      <c r="D56" s="73"/>
      <c r="F56" s="3">
        <f>IF(F9&lt;&gt;"",F55*(1+UnosPodataka!M22)^-F9,"")</f>
        <v>1391639.737308454</v>
      </c>
      <c r="G56" s="3">
        <f>IF(G9&lt;&gt;"",G55*(1+UnosPodataka!N22)^-G9,"")</f>
        <v>1475138.1215469614</v>
      </c>
      <c r="H56" s="3">
        <f>IF(H9&lt;&gt;"",H55*(1+UnosPodataka!P22)^-H9,"")</f>
        <v>1475138.1215469614</v>
      </c>
      <c r="I56" s="3">
        <f>IF(I9&lt;&gt;"",I55*(1+UnosPodataka!Q22)^-I9,"")</f>
        <v>1475138.1215469614</v>
      </c>
      <c r="J56" s="3">
        <f>IF(J9&lt;&gt;"",J55*(1+UnosPodataka!R22)^-J9,"")</f>
        <v>1475138.1215469614</v>
      </c>
      <c r="K56" s="3">
        <f>IF(K9&lt;&gt;"",K55*(1+UnosPodataka!S22)^-K9,"")</f>
        <v>1475138.1215469614</v>
      </c>
      <c r="L56" s="3">
        <f>IF(L9&lt;&gt;"",L55*(1+UnosPodataka!T22)^-L9,"")</f>
        <v>1475138.1215469614</v>
      </c>
      <c r="M56" s="3">
        <f>IF(M9&lt;&gt;"",M55*(1+UnosPodataka!U22)^-M9,"")</f>
        <v>1475138.1215469614</v>
      </c>
      <c r="N56" s="3">
        <f>IF(N9&lt;&gt;"",N55*(1+UnosPodataka!V22)^-N9,"")</f>
        <v>1475138.1215469614</v>
      </c>
      <c r="O56" s="3">
        <f>IF(O9&lt;&gt;"",O55*(1+UnosPodataka!W22)^-O9,"")</f>
        <v>1475138.1215469614</v>
      </c>
      <c r="P56" s="3">
        <f>IF(P9&lt;&gt;"",P55*(1+UnosPodataka!X22)^-P9,"")</f>
        <v>1475138.1215469614</v>
      </c>
      <c r="Q56" s="3">
        <f>IF(Q9&lt;&gt;"",Q55*(1+UnosPodataka!Y22)^-Q9,"")</f>
        <v>1475138.1215469614</v>
      </c>
      <c r="R56" s="3">
        <f>IF(R9&lt;&gt;"",R55*(1+UnosPodataka!Z22)^-R9,"")</f>
        <v>1475138.1215469614</v>
      </c>
      <c r="S56" s="3">
        <f>IF(S9&lt;&gt;"",S55*(1+UnosPodataka!AA22)^-S9,"")</f>
        <v>1475138.1215469614</v>
      </c>
      <c r="T56" s="3">
        <f>IF(T9&lt;&gt;"",T55*(1+UnosPodataka!AB22)^-T9,"")</f>
        <v>1475138.1215469614</v>
      </c>
      <c r="U56" s="3">
        <f>IF(U9&lt;&gt;"",U55*(1+UnosPodataka!AC22)^-U9,"")</f>
        <v>1475138.1215469614</v>
      </c>
      <c r="V56" s="3">
        <f>IF(V9&lt;&gt;"",V55*(1+UnosPodataka!AD22)^-V9,"")</f>
        <v>1475138.1215469614</v>
      </c>
      <c r="W56" s="3">
        <f>IF(W9&lt;&gt;"",W55*(1+UnosPodataka!AE22)^-W9,"")</f>
        <v>1475138.1215469614</v>
      </c>
      <c r="X56" s="3">
        <f>IF(X9&lt;&gt;"",X55*(1+UnosPodataka!AF22)^-X9,"")</f>
        <v>1475138.1215469614</v>
      </c>
      <c r="Y56" s="3">
        <f>IF(Y9&lt;&gt;"",Y55*(1+UnosPodataka!AG22)^-Y9,"")</f>
        <v>1475138.1215469614</v>
      </c>
    </row>
    <row r="57" spans="1:26" x14ac:dyDescent="0.25">
      <c r="A57" s="73" t="s">
        <v>172</v>
      </c>
      <c r="B57" s="73"/>
      <c r="C57" s="73"/>
      <c r="D57" s="73"/>
      <c r="F57" s="3">
        <f t="shared" ref="F57:Y57" si="18">IF(F9&lt;&gt;"",E57+F56,"")</f>
        <v>1391639.737308454</v>
      </c>
      <c r="G57" s="3">
        <f t="shared" si="18"/>
        <v>2866777.8588554151</v>
      </c>
      <c r="H57" s="3">
        <f t="shared" si="18"/>
        <v>4341915.9804023765</v>
      </c>
      <c r="I57" s="3">
        <f t="shared" si="18"/>
        <v>5817054.1019493379</v>
      </c>
      <c r="J57" s="3">
        <f t="shared" si="18"/>
        <v>7292192.2234962992</v>
      </c>
      <c r="K57" s="3">
        <f t="shared" si="18"/>
        <v>8767330.3450432606</v>
      </c>
      <c r="L57" s="3">
        <f t="shared" si="18"/>
        <v>10242468.466590222</v>
      </c>
      <c r="M57" s="3">
        <f t="shared" si="18"/>
        <v>11717606.588137183</v>
      </c>
      <c r="N57" s="3">
        <f t="shared" si="18"/>
        <v>13192744.709684145</v>
      </c>
      <c r="O57" s="3">
        <f t="shared" si="18"/>
        <v>14667882.831231106</v>
      </c>
      <c r="P57" s="3">
        <f t="shared" si="18"/>
        <v>16143020.952778067</v>
      </c>
      <c r="Q57" s="3">
        <f t="shared" si="18"/>
        <v>17618159.074325029</v>
      </c>
      <c r="R57" s="3">
        <f t="shared" si="18"/>
        <v>19093297.19587199</v>
      </c>
      <c r="S57" s="3">
        <f t="shared" si="18"/>
        <v>20568435.317418952</v>
      </c>
      <c r="T57" s="3">
        <f t="shared" si="18"/>
        <v>22043573.438965913</v>
      </c>
      <c r="U57" s="3">
        <f t="shared" si="18"/>
        <v>23518711.560512874</v>
      </c>
      <c r="V57" s="3">
        <f t="shared" si="18"/>
        <v>24993849.682059836</v>
      </c>
      <c r="W57" s="3">
        <f t="shared" si="18"/>
        <v>26468987.803606797</v>
      </c>
      <c r="X57" s="3">
        <f t="shared" si="18"/>
        <v>27944125.925153758</v>
      </c>
      <c r="Y57" s="3">
        <f t="shared" si="18"/>
        <v>29419264.04670072</v>
      </c>
    </row>
    <row r="58" spans="1:26" x14ac:dyDescent="0.25">
      <c r="A58" s="73" t="s">
        <v>170</v>
      </c>
      <c r="B58" s="73"/>
      <c r="C58" s="73"/>
      <c r="D58" s="73"/>
      <c r="E58" s="3">
        <f>+E57-E54</f>
        <v>-3235000</v>
      </c>
      <c r="F58" s="3">
        <f>+F57-F54</f>
        <v>-2794158.6217556819</v>
      </c>
      <c r="G58" s="3">
        <f t="shared" ref="G58:Y58" si="19">+G57-G54</f>
        <v>-2216485.6974311657</v>
      </c>
      <c r="H58" s="3">
        <f t="shared" si="19"/>
        <v>-1588547.3200333714</v>
      </c>
      <c r="I58" s="3">
        <f t="shared" si="19"/>
        <v>-913239.0888578305</v>
      </c>
      <c r="J58" s="3">
        <f t="shared" si="19"/>
        <v>-193294.39156736806</v>
      </c>
      <c r="K58" s="3">
        <f t="shared" si="19"/>
        <v>568706.25337504409</v>
      </c>
      <c r="L58" s="3">
        <f t="shared" si="19"/>
        <v>1370326.3777457308</v>
      </c>
      <c r="M58" s="3">
        <f t="shared" si="19"/>
        <v>2209265.2379293405</v>
      </c>
      <c r="N58" s="3">
        <f t="shared" si="19"/>
        <v>3083349.9541640617</v>
      </c>
      <c r="O58" s="3">
        <f t="shared" si="19"/>
        <v>3990528.0878016464</v>
      </c>
      <c r="P58" s="3">
        <f t="shared" si="19"/>
        <v>4928860.6312211063</v>
      </c>
      <c r="Q58" s="3">
        <f t="shared" si="19"/>
        <v>5896515.3864485249</v>
      </c>
      <c r="R58" s="3">
        <f t="shared" si="19"/>
        <v>6891760.7098671738</v>
      </c>
      <c r="S58" s="3">
        <f t="shared" si="19"/>
        <v>7912959.601656599</v>
      </c>
      <c r="T58" s="3">
        <f t="shared" si="19"/>
        <v>8958564.1197808925</v>
      </c>
      <c r="U58" s="3">
        <f t="shared" si="19"/>
        <v>10117830.584451407</v>
      </c>
      <c r="V58" s="3">
        <f t="shared" si="19"/>
        <v>11295040.001078503</v>
      </c>
      <c r="W58" s="3">
        <f t="shared" si="19"/>
        <v>12489173.128087612</v>
      </c>
      <c r="X58" s="3">
        <f t="shared" si="19"/>
        <v>13699268.621478088</v>
      </c>
      <c r="Y58" s="3">
        <f t="shared" si="19"/>
        <v>14924419.745976733</v>
      </c>
    </row>
    <row r="59" spans="1:26" x14ac:dyDescent="0.25">
      <c r="A59" s="47" t="s">
        <v>178</v>
      </c>
      <c r="B59" s="47"/>
      <c r="C59" s="47"/>
      <c r="D59" s="47"/>
      <c r="E59" s="46"/>
      <c r="F59" s="46">
        <f>-F52/HEAT</f>
        <v>46.669482166537065</v>
      </c>
      <c r="G59" s="3">
        <f t="shared" ref="G59:Y59" si="20">-G52/HEAT</f>
        <v>46.704688981072898</v>
      </c>
      <c r="H59" s="3">
        <f t="shared" si="20"/>
        <v>46.744120613353026</v>
      </c>
      <c r="I59" s="3">
        <f t="shared" si="20"/>
        <v>46.78828404150677</v>
      </c>
      <c r="J59" s="3">
        <f t="shared" si="20"/>
        <v>46.837747081038962</v>
      </c>
      <c r="K59" s="3">
        <f t="shared" si="20"/>
        <v>46.893145685315019</v>
      </c>
      <c r="L59" s="3">
        <f t="shared" si="20"/>
        <v>46.955192122104208</v>
      </c>
      <c r="M59" s="3">
        <f t="shared" si="20"/>
        <v>47.024684131308092</v>
      </c>
      <c r="N59" s="3">
        <f t="shared" si="20"/>
        <v>47.10251518161644</v>
      </c>
      <c r="O59" s="3">
        <f t="shared" si="20"/>
        <v>47.189685957961792</v>
      </c>
      <c r="P59" s="3">
        <f t="shared" si="20"/>
        <v>47.287317227468591</v>
      </c>
      <c r="Q59" s="3">
        <f t="shared" si="20"/>
        <v>47.39666424931621</v>
      </c>
      <c r="R59" s="3">
        <f t="shared" si="20"/>
        <v>47.519132913785533</v>
      </c>
      <c r="S59" s="3">
        <f t="shared" si="20"/>
        <v>47.656297817991181</v>
      </c>
      <c r="T59" s="3">
        <f t="shared" si="20"/>
        <v>47.809922510701504</v>
      </c>
      <c r="U59" s="3">
        <f t="shared" si="20"/>
        <v>37.276048025657637</v>
      </c>
      <c r="V59" s="3">
        <f t="shared" si="20"/>
        <v>37.276048025657637</v>
      </c>
      <c r="W59" s="3">
        <f t="shared" si="20"/>
        <v>37.276048025657637</v>
      </c>
      <c r="X59" s="3">
        <f t="shared" si="20"/>
        <v>37.276048025657637</v>
      </c>
      <c r="Y59" s="3">
        <f t="shared" si="20"/>
        <v>37.276048025657637</v>
      </c>
    </row>
    <row r="61" spans="1:26" x14ac:dyDescent="0.25">
      <c r="A61" s="73" t="s">
        <v>116</v>
      </c>
      <c r="B61" s="73"/>
      <c r="C61" s="73"/>
      <c r="D61" s="73"/>
      <c r="E61" s="3">
        <f>+E54</f>
        <v>3235000</v>
      </c>
      <c r="F61" s="3">
        <f t="shared" ref="F61:Y61" si="21">+F54</f>
        <v>4185798.3590641357</v>
      </c>
      <c r="G61" s="3">
        <f t="shared" si="21"/>
        <v>5083263.5562865809</v>
      </c>
      <c r="H61" s="3">
        <f t="shared" si="21"/>
        <v>5930463.300435748</v>
      </c>
      <c r="I61" s="3">
        <f t="shared" si="21"/>
        <v>6730293.1908071684</v>
      </c>
      <c r="J61" s="3">
        <f t="shared" si="21"/>
        <v>7485486.6150636673</v>
      </c>
      <c r="K61" s="3">
        <f t="shared" si="21"/>
        <v>8198624.0916682165</v>
      </c>
      <c r="L61" s="3">
        <f t="shared" si="21"/>
        <v>8872142.0888444912</v>
      </c>
      <c r="M61" s="3">
        <f t="shared" si="21"/>
        <v>9508341.3502078429</v>
      </c>
      <c r="N61" s="3">
        <f t="shared" si="21"/>
        <v>10109394.755520083</v>
      </c>
      <c r="O61" s="3">
        <f t="shared" si="21"/>
        <v>10677354.74342946</v>
      </c>
      <c r="P61" s="3">
        <f t="shared" si="21"/>
        <v>11214160.321556961</v>
      </c>
      <c r="Q61" s="3">
        <f t="shared" si="21"/>
        <v>11721643.687876504</v>
      </c>
      <c r="R61" s="3">
        <f t="shared" si="21"/>
        <v>12201536.486004816</v>
      </c>
      <c r="S61" s="3">
        <f t="shared" si="21"/>
        <v>12655475.715762353</v>
      </c>
      <c r="T61" s="3">
        <f t="shared" si="21"/>
        <v>13085009.31918502</v>
      </c>
      <c r="U61" s="3">
        <f t="shared" si="21"/>
        <v>13400880.976061467</v>
      </c>
      <c r="V61" s="3">
        <f t="shared" si="21"/>
        <v>13698809.680981332</v>
      </c>
      <c r="W61" s="3">
        <f t="shared" si="21"/>
        <v>13979814.675519185</v>
      </c>
      <c r="X61" s="3">
        <f t="shared" si="21"/>
        <v>14244857.30367567</v>
      </c>
      <c r="Y61" s="3">
        <f t="shared" si="21"/>
        <v>14494844.300723987</v>
      </c>
    </row>
    <row r="62" spans="1:26" x14ac:dyDescent="0.25">
      <c r="A62" s="73" t="s">
        <v>117</v>
      </c>
      <c r="B62" s="73"/>
      <c r="C62" s="73"/>
      <c r="D62" s="73"/>
      <c r="E62" s="3"/>
      <c r="F62" s="3">
        <f>+F56</f>
        <v>1391639.737308454</v>
      </c>
      <c r="G62" s="3">
        <f t="shared" ref="G62:Y62" si="22">IF(G9="",F62,G57)</f>
        <v>2866777.8588554151</v>
      </c>
      <c r="H62" s="3">
        <f t="shared" si="22"/>
        <v>4341915.9804023765</v>
      </c>
      <c r="I62" s="3">
        <f t="shared" si="22"/>
        <v>5817054.1019493379</v>
      </c>
      <c r="J62" s="3">
        <f t="shared" si="22"/>
        <v>7292192.2234962992</v>
      </c>
      <c r="K62" s="3">
        <f t="shared" si="22"/>
        <v>8767330.3450432606</v>
      </c>
      <c r="L62" s="3">
        <f t="shared" si="22"/>
        <v>10242468.466590222</v>
      </c>
      <c r="M62" s="3">
        <f t="shared" si="22"/>
        <v>11717606.588137183</v>
      </c>
      <c r="N62" s="3">
        <f t="shared" si="22"/>
        <v>13192744.709684145</v>
      </c>
      <c r="O62" s="3">
        <f t="shared" si="22"/>
        <v>14667882.831231106</v>
      </c>
      <c r="P62" s="3">
        <f t="shared" si="22"/>
        <v>16143020.952778067</v>
      </c>
      <c r="Q62" s="3">
        <f t="shared" si="22"/>
        <v>17618159.074325029</v>
      </c>
      <c r="R62" s="3">
        <f t="shared" si="22"/>
        <v>19093297.19587199</v>
      </c>
      <c r="S62" s="3">
        <f t="shared" si="22"/>
        <v>20568435.317418952</v>
      </c>
      <c r="T62" s="3">
        <f t="shared" si="22"/>
        <v>22043573.438965913</v>
      </c>
      <c r="U62" s="3">
        <f t="shared" si="22"/>
        <v>23518711.560512874</v>
      </c>
      <c r="V62" s="3">
        <f t="shared" si="22"/>
        <v>24993849.682059836</v>
      </c>
      <c r="W62" s="3">
        <f t="shared" si="22"/>
        <v>26468987.803606797</v>
      </c>
      <c r="X62" s="3">
        <f t="shared" si="22"/>
        <v>27944125.925153758</v>
      </c>
      <c r="Y62" s="3">
        <f t="shared" si="22"/>
        <v>29419264.04670072</v>
      </c>
    </row>
  </sheetData>
  <sheetProtection selectLockedCells="1"/>
  <mergeCells count="36">
    <mergeCell ref="A22:D22"/>
    <mergeCell ref="N7:O7"/>
    <mergeCell ref="A58:D58"/>
    <mergeCell ref="A61:D61"/>
    <mergeCell ref="A13:D13"/>
    <mergeCell ref="A18:D18"/>
    <mergeCell ref="A21:D21"/>
    <mergeCell ref="A14:D14"/>
    <mergeCell ref="A19:D19"/>
    <mergeCell ref="A24:D24"/>
    <mergeCell ref="A17:D17"/>
    <mergeCell ref="A28:D28"/>
    <mergeCell ref="A7:E7"/>
    <mergeCell ref="A15:D15"/>
    <mergeCell ref="A26:D26"/>
    <mergeCell ref="A53:D53"/>
    <mergeCell ref="H3:K3"/>
    <mergeCell ref="I7:J7"/>
    <mergeCell ref="A9:D9"/>
    <mergeCell ref="A11:D11"/>
    <mergeCell ref="A12:D12"/>
    <mergeCell ref="A62:D62"/>
    <mergeCell ref="A25:D25"/>
    <mergeCell ref="A27:D27"/>
    <mergeCell ref="A30:D30"/>
    <mergeCell ref="A29:D29"/>
    <mergeCell ref="A57:D57"/>
    <mergeCell ref="A33:D33"/>
    <mergeCell ref="A35:D35"/>
    <mergeCell ref="A36:D36"/>
    <mergeCell ref="A34:D34"/>
    <mergeCell ref="A37:D37"/>
    <mergeCell ref="A52:D52"/>
    <mergeCell ref="A55:D55"/>
    <mergeCell ref="A56:D56"/>
    <mergeCell ref="A54:D54"/>
  </mergeCells>
  <dataValidations disablePrompts="1" count="2">
    <dataValidation allowBlank="1" showInputMessage="1" showErrorMessage="1" promptTitle="BrutoDobit" prompt="Bruto dobit prema Bilansu uspeha, ne obuhvata otplatu glavice." sqref="A33:D33"/>
    <dataValidation allowBlank="1" showInputMessage="1" showErrorMessage="1" promptTitle="CashFlow" prompt="Ne obuhvata amortizaciju, ali obuhvata otplatu glavnice." sqref="A38"/>
  </dataValidations>
  <hyperlinks>
    <hyperlink ref="N7:O7" location="EconIndicators!A1" display="DALJE"/>
    <hyperlink ref="I7:J7" location="Annuity!I4" display="NAZAD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4:Y67"/>
  <sheetViews>
    <sheetView workbookViewId="0">
      <selection activeCell="F15" sqref="F15"/>
    </sheetView>
  </sheetViews>
  <sheetFormatPr defaultRowHeight="15" x14ac:dyDescent="0.25"/>
  <cols>
    <col min="4" max="4" width="12.7109375" customWidth="1"/>
    <col min="5" max="5" width="14.28515625" customWidth="1"/>
    <col min="6" max="6" width="13.140625" customWidth="1"/>
    <col min="7" max="7" width="13.28515625" customWidth="1"/>
    <col min="8" max="9" width="13.140625" customWidth="1"/>
    <col min="10" max="10" width="13.7109375" customWidth="1"/>
    <col min="11" max="11" width="13.140625" customWidth="1"/>
    <col min="12" max="12" width="14" customWidth="1"/>
    <col min="13" max="13" width="13.85546875" customWidth="1"/>
    <col min="14" max="14" width="14.28515625" customWidth="1"/>
    <col min="15" max="15" width="14.42578125" customWidth="1"/>
    <col min="16" max="16" width="14.28515625" customWidth="1"/>
    <col min="17" max="17" width="13.85546875" customWidth="1"/>
    <col min="18" max="18" width="14" customWidth="1"/>
    <col min="19" max="19" width="14.5703125" customWidth="1"/>
    <col min="20" max="20" width="14.42578125" customWidth="1"/>
    <col min="21" max="21" width="14" customWidth="1"/>
    <col min="22" max="22" width="13.85546875" customWidth="1"/>
    <col min="23" max="23" width="15.140625" customWidth="1"/>
    <col min="24" max="24" width="14.7109375" customWidth="1"/>
    <col min="25" max="25" width="14.5703125" customWidth="1"/>
  </cols>
  <sheetData>
    <row r="4" spans="1:25" ht="16.5" x14ac:dyDescent="0.35">
      <c r="H4" s="62" t="s">
        <v>190</v>
      </c>
      <c r="I4" s="62"/>
      <c r="J4" s="62"/>
      <c r="K4" s="62"/>
    </row>
    <row r="7" spans="1:25" ht="21" x14ac:dyDescent="0.35">
      <c r="A7" s="80" t="s">
        <v>166</v>
      </c>
      <c r="B7" s="80"/>
      <c r="C7" s="80"/>
      <c r="D7" s="80"/>
      <c r="E7" s="81"/>
      <c r="I7" s="78" t="s">
        <v>129</v>
      </c>
      <c r="J7" s="78"/>
      <c r="N7" s="79" t="s">
        <v>130</v>
      </c>
      <c r="O7" s="79"/>
    </row>
    <row r="9" spans="1:25" x14ac:dyDescent="0.25">
      <c r="A9" s="65" t="s">
        <v>72</v>
      </c>
      <c r="B9" s="65"/>
      <c r="C9" s="65"/>
      <c r="D9" s="65"/>
      <c r="E9" s="16">
        <v>0</v>
      </c>
      <c r="F9" s="16">
        <v>1</v>
      </c>
      <c r="G9" s="16">
        <f>IF(F9&lt;UnosPodataka!$M$28,'FinInd+CO2'!F9+1,"")</f>
        <v>2</v>
      </c>
      <c r="H9" s="16">
        <f>IF(G9&lt;UnosPodataka!$M$28,'FinInd+CO2'!G9+1,"")</f>
        <v>3</v>
      </c>
      <c r="I9" s="16">
        <f>IF(H9&lt;UnosPodataka!$M$28,'FinInd+CO2'!H9+1,"")</f>
        <v>4</v>
      </c>
      <c r="J9" s="16">
        <f>IF(I9&lt;UnosPodataka!$M$28,'FinInd+CO2'!I9+1,"")</f>
        <v>5</v>
      </c>
      <c r="K9" s="16">
        <f>IF(J9&lt;UnosPodataka!$M$28,'FinInd+CO2'!J9+1,"")</f>
        <v>6</v>
      </c>
      <c r="L9" s="16">
        <f>IF(K9&lt;UnosPodataka!$M$28,'FinInd+CO2'!K9+1,"")</f>
        <v>7</v>
      </c>
      <c r="M9" s="16">
        <f>IF(L9&lt;UnosPodataka!$M$28,'FinInd+CO2'!L9+1,"")</f>
        <v>8</v>
      </c>
      <c r="N9" s="16">
        <f>IF(M9&lt;UnosPodataka!$M$28,'FinInd+CO2'!M9+1,"")</f>
        <v>9</v>
      </c>
      <c r="O9" s="16">
        <f>IF(N9&lt;UnosPodataka!$M$28,'FinInd+CO2'!N9+1,"")</f>
        <v>10</v>
      </c>
      <c r="P9" s="16">
        <f>IF(O9&lt;UnosPodataka!$M$28,'FinInd+CO2'!O9+1,"")</f>
        <v>11</v>
      </c>
      <c r="Q9" s="16">
        <f>IF(P9&lt;UnosPodataka!$M$28,'FinInd+CO2'!P9+1,"")</f>
        <v>12</v>
      </c>
      <c r="R9" s="16">
        <f>IF(Q9&lt;UnosPodataka!$M$28,'FinInd+CO2'!Q9+1,"")</f>
        <v>13</v>
      </c>
      <c r="S9" s="16">
        <f>IF(R9&lt;UnosPodataka!$M$28,'FinInd+CO2'!R9+1,"")</f>
        <v>14</v>
      </c>
      <c r="T9" s="16">
        <f>IF(S9&lt;UnosPodataka!$M$28,'FinInd+CO2'!S9+1,"")</f>
        <v>15</v>
      </c>
      <c r="U9" s="16">
        <f>IF(T9&lt;UnosPodataka!$M$28,'FinInd+CO2'!T9+1,"")</f>
        <v>16</v>
      </c>
      <c r="V9" s="16">
        <f>IF(U9&lt;UnosPodataka!$M$28,'FinInd+CO2'!U9+1,"")</f>
        <v>17</v>
      </c>
      <c r="W9" s="16">
        <f>IF(V9&lt;UnosPodataka!$M$28,'FinInd+CO2'!V9+1,"")</f>
        <v>18</v>
      </c>
      <c r="X9" s="16">
        <f>IF(W9&lt;UnosPodataka!$M$28,'FinInd+CO2'!W9+1,"")</f>
        <v>19</v>
      </c>
      <c r="Y9" s="16">
        <f>IF(X9&lt;UnosPodataka!$M$28,'FinInd+CO2'!X9+1,"")</f>
        <v>20</v>
      </c>
    </row>
    <row r="11" spans="1:25" x14ac:dyDescent="0.25">
      <c r="A11" s="73" t="s">
        <v>103</v>
      </c>
      <c r="B11" s="73"/>
      <c r="C11" s="73"/>
      <c r="D11" s="73"/>
      <c r="E11" s="3">
        <f>Loan</f>
        <v>1575000</v>
      </c>
    </row>
    <row r="12" spans="1:25" x14ac:dyDescent="0.25">
      <c r="A12" s="73" t="s">
        <v>104</v>
      </c>
      <c r="B12" s="73"/>
      <c r="C12" s="73"/>
      <c r="D12" s="73"/>
      <c r="E12" s="3">
        <f>IF(Equity=0,Loan,Equity)</f>
        <v>100000</v>
      </c>
    </row>
    <row r="13" spans="1:25" x14ac:dyDescent="0.25">
      <c r="A13" s="73" t="s">
        <v>143</v>
      </c>
      <c r="B13" s="73"/>
      <c r="C13" s="73"/>
      <c r="D13" s="73"/>
      <c r="E13" s="3">
        <f>+SUM(UnosPodataka!F25:F29)</f>
        <v>1560000</v>
      </c>
    </row>
    <row r="14" spans="1:25" x14ac:dyDescent="0.25">
      <c r="A14" s="73" t="s">
        <v>105</v>
      </c>
      <c r="B14" s="73"/>
      <c r="C14" s="73"/>
      <c r="D14" s="73"/>
      <c r="F14" s="3">
        <f t="shared" ref="F14:Y14" si="0">IF(F9&lt;&gt;"",HEAT,"")</f>
        <v>21600</v>
      </c>
      <c r="G14" s="3">
        <f t="shared" si="0"/>
        <v>21600</v>
      </c>
      <c r="H14" s="3">
        <f t="shared" si="0"/>
        <v>21600</v>
      </c>
      <c r="I14" s="3">
        <f t="shared" si="0"/>
        <v>21600</v>
      </c>
      <c r="J14" s="3">
        <f t="shared" si="0"/>
        <v>21600</v>
      </c>
      <c r="K14" s="3">
        <f t="shared" si="0"/>
        <v>21600</v>
      </c>
      <c r="L14" s="3">
        <f t="shared" si="0"/>
        <v>21600</v>
      </c>
      <c r="M14" s="3">
        <f t="shared" si="0"/>
        <v>21600</v>
      </c>
      <c r="N14" s="3">
        <f t="shared" si="0"/>
        <v>21600</v>
      </c>
      <c r="O14" s="3">
        <f t="shared" si="0"/>
        <v>21600</v>
      </c>
      <c r="P14" s="3">
        <f t="shared" si="0"/>
        <v>21600</v>
      </c>
      <c r="Q14" s="3">
        <f t="shared" si="0"/>
        <v>21600</v>
      </c>
      <c r="R14" s="3">
        <f t="shared" si="0"/>
        <v>21600</v>
      </c>
      <c r="S14" s="3">
        <f t="shared" si="0"/>
        <v>21600</v>
      </c>
      <c r="T14" s="3">
        <f t="shared" si="0"/>
        <v>21600</v>
      </c>
      <c r="U14" s="3">
        <f t="shared" si="0"/>
        <v>21600</v>
      </c>
      <c r="V14" s="3">
        <f t="shared" si="0"/>
        <v>21600</v>
      </c>
      <c r="W14" s="3">
        <f t="shared" si="0"/>
        <v>21600</v>
      </c>
      <c r="X14" s="3">
        <f t="shared" si="0"/>
        <v>21600</v>
      </c>
      <c r="Y14" s="3">
        <f t="shared" si="0"/>
        <v>21600</v>
      </c>
    </row>
    <row r="15" spans="1:25" x14ac:dyDescent="0.25">
      <c r="A15" s="73" t="s">
        <v>118</v>
      </c>
      <c r="B15" s="73"/>
      <c r="C15" s="73"/>
      <c r="D15" s="73"/>
      <c r="F15" s="3">
        <f t="shared" ref="F15:Y15" si="1">IF(F9&lt;&gt;"",ECONS,"")</f>
        <v>5400</v>
      </c>
      <c r="G15" s="3">
        <f t="shared" si="1"/>
        <v>5400</v>
      </c>
      <c r="H15" s="3">
        <f t="shared" si="1"/>
        <v>5400</v>
      </c>
      <c r="I15" s="3">
        <f t="shared" si="1"/>
        <v>5400</v>
      </c>
      <c r="J15" s="3">
        <f t="shared" si="1"/>
        <v>5400</v>
      </c>
      <c r="K15" s="3">
        <f t="shared" si="1"/>
        <v>5400</v>
      </c>
      <c r="L15" s="3">
        <f t="shared" si="1"/>
        <v>5400</v>
      </c>
      <c r="M15" s="3">
        <f t="shared" si="1"/>
        <v>5400</v>
      </c>
      <c r="N15" s="3">
        <f t="shared" si="1"/>
        <v>5400</v>
      </c>
      <c r="O15" s="3">
        <f t="shared" si="1"/>
        <v>5400</v>
      </c>
      <c r="P15" s="3">
        <f t="shared" si="1"/>
        <v>5400</v>
      </c>
      <c r="Q15" s="3">
        <f t="shared" si="1"/>
        <v>5400</v>
      </c>
      <c r="R15" s="3">
        <f t="shared" si="1"/>
        <v>5400</v>
      </c>
      <c r="S15" s="3">
        <f t="shared" si="1"/>
        <v>5400</v>
      </c>
      <c r="T15" s="3">
        <f t="shared" si="1"/>
        <v>5400</v>
      </c>
      <c r="U15" s="3">
        <f t="shared" si="1"/>
        <v>5400</v>
      </c>
      <c r="V15" s="3">
        <f t="shared" si="1"/>
        <v>5400</v>
      </c>
      <c r="W15" s="3">
        <f t="shared" si="1"/>
        <v>5400</v>
      </c>
      <c r="X15" s="3">
        <f t="shared" si="1"/>
        <v>5400</v>
      </c>
      <c r="Y15" s="3">
        <f t="shared" si="1"/>
        <v>5400</v>
      </c>
    </row>
    <row r="16" spans="1:25" ht="18" x14ac:dyDescent="0.35">
      <c r="A16" s="73" t="s">
        <v>217</v>
      </c>
      <c r="B16" s="73"/>
      <c r="C16" s="73"/>
      <c r="D16" s="73"/>
      <c r="F16" s="3">
        <f>+F14*UnosPodataka!$M$27 -F15*CARBON</f>
        <v>-203.45806451612862</v>
      </c>
      <c r="G16" s="3">
        <f>+G14*UnosPodataka!$M$27 -G15*CARBON</f>
        <v>-203.45806451612862</v>
      </c>
      <c r="H16" s="3">
        <f>+H14*UnosPodataka!$M$27 -H15*CARBON</f>
        <v>-203.45806451612862</v>
      </c>
      <c r="I16" s="3">
        <f>+I14*UnosPodataka!$M$27 -I15*CARBON</f>
        <v>-203.45806451612862</v>
      </c>
      <c r="J16" s="3">
        <f>+J14*UnosPodataka!$M$27 -J15*CARBON</f>
        <v>-203.45806451612862</v>
      </c>
      <c r="K16" s="3">
        <f>+K14*UnosPodataka!$M$27 -K15*CARBON</f>
        <v>-203.45806451612862</v>
      </c>
      <c r="L16" s="3">
        <f>+L14*UnosPodataka!$M$27 -L15*CARBON</f>
        <v>-203.45806451612862</v>
      </c>
      <c r="M16" s="3">
        <f>+M14*UnosPodataka!$M$27 -M15*CARBON</f>
        <v>-203.45806451612862</v>
      </c>
      <c r="N16" s="3">
        <f>+N14*UnosPodataka!$M$27 -N15*CARBON</f>
        <v>-203.45806451612862</v>
      </c>
      <c r="O16" s="3">
        <f>+O14*UnosPodataka!$M$27 -O15*CARBON</f>
        <v>-203.45806451612862</v>
      </c>
      <c r="P16" s="3">
        <f>+P14*UnosPodataka!$M$27 -P15*CARBON</f>
        <v>-203.45806451612862</v>
      </c>
      <c r="Q16" s="3">
        <f>+Q14*UnosPodataka!$M$27 -Q15*CARBON</f>
        <v>-203.45806451612862</v>
      </c>
      <c r="R16" s="3">
        <f>+R14*UnosPodataka!$M$27 -R15*CARBON</f>
        <v>-203.45806451612862</v>
      </c>
      <c r="S16" s="3">
        <f>+S14*UnosPodataka!$M$27 -S15*CARBON</f>
        <v>-203.45806451612862</v>
      </c>
      <c r="T16" s="3">
        <f>+T14*UnosPodataka!$M$27 -T15*CARBON</f>
        <v>-203.45806451612862</v>
      </c>
      <c r="U16" s="3">
        <f>+U14*UnosPodataka!$M$27 -U15*CARBON</f>
        <v>-203.45806451612862</v>
      </c>
      <c r="V16" s="3">
        <f>+V14*UnosPodataka!$M$27 -V15*CARBON</f>
        <v>-203.45806451612862</v>
      </c>
      <c r="W16" s="3">
        <f>+W14*UnosPodataka!$M$27 -W15*CARBON</f>
        <v>-203.45806451612862</v>
      </c>
      <c r="X16" s="3">
        <f>+X14*UnosPodataka!$M$27 -X15*CARBON</f>
        <v>-203.45806451612862</v>
      </c>
      <c r="Y16" s="3">
        <f>+Y14*UnosPodataka!$M$27 -Y15*CARBON</f>
        <v>-203.45806451612862</v>
      </c>
    </row>
    <row r="18" spans="1:25" x14ac:dyDescent="0.25">
      <c r="A18" s="65" t="s">
        <v>147</v>
      </c>
      <c r="B18" s="65"/>
      <c r="C18" s="65"/>
      <c r="D18" s="65"/>
    </row>
    <row r="19" spans="1:25" x14ac:dyDescent="0.25">
      <c r="A19" s="73" t="s">
        <v>106</v>
      </c>
      <c r="B19" s="73"/>
      <c r="C19" s="73"/>
      <c r="D19" s="73"/>
      <c r="F19" s="3">
        <f t="shared" ref="F19:Y19" si="2">IF(F9&lt;&gt;"",F14*etagrid*HPrice/Kurs_EUR,"")</f>
        <v>1475138.1215469614</v>
      </c>
      <c r="G19" s="3">
        <f t="shared" si="2"/>
        <v>1475138.1215469614</v>
      </c>
      <c r="H19" s="3">
        <f t="shared" si="2"/>
        <v>1475138.1215469614</v>
      </c>
      <c r="I19" s="3">
        <f t="shared" si="2"/>
        <v>1475138.1215469614</v>
      </c>
      <c r="J19" s="3">
        <f t="shared" si="2"/>
        <v>1475138.1215469614</v>
      </c>
      <c r="K19" s="3">
        <f t="shared" si="2"/>
        <v>1475138.1215469614</v>
      </c>
      <c r="L19" s="3">
        <f t="shared" si="2"/>
        <v>1475138.1215469614</v>
      </c>
      <c r="M19" s="3">
        <f t="shared" si="2"/>
        <v>1475138.1215469614</v>
      </c>
      <c r="N19" s="3">
        <f t="shared" si="2"/>
        <v>1475138.1215469614</v>
      </c>
      <c r="O19" s="3">
        <f t="shared" si="2"/>
        <v>1475138.1215469614</v>
      </c>
      <c r="P19" s="3">
        <f t="shared" si="2"/>
        <v>1475138.1215469614</v>
      </c>
      <c r="Q19" s="3">
        <f t="shared" si="2"/>
        <v>1475138.1215469614</v>
      </c>
      <c r="R19" s="3">
        <f t="shared" si="2"/>
        <v>1475138.1215469614</v>
      </c>
      <c r="S19" s="3">
        <f t="shared" si="2"/>
        <v>1475138.1215469614</v>
      </c>
      <c r="T19" s="3">
        <f t="shared" si="2"/>
        <v>1475138.1215469614</v>
      </c>
      <c r="U19" s="3">
        <f t="shared" si="2"/>
        <v>1475138.1215469614</v>
      </c>
      <c r="V19" s="3">
        <f t="shared" si="2"/>
        <v>1475138.1215469614</v>
      </c>
      <c r="W19" s="3">
        <f t="shared" si="2"/>
        <v>1475138.1215469614</v>
      </c>
      <c r="X19" s="3">
        <f t="shared" si="2"/>
        <v>1475138.1215469614</v>
      </c>
      <c r="Y19" s="3">
        <f t="shared" si="2"/>
        <v>1475138.1215469614</v>
      </c>
    </row>
    <row r="20" spans="1:25" ht="18" x14ac:dyDescent="0.35">
      <c r="A20" s="73" t="s">
        <v>191</v>
      </c>
      <c r="B20" s="73"/>
      <c r="C20" s="73"/>
      <c r="D20" s="73"/>
      <c r="F20" s="3">
        <f>IF(F9&lt;&gt;"",F16*CO2Tax,"")</f>
        <v>-19824.953806451573</v>
      </c>
      <c r="G20" s="3">
        <f t="shared" ref="G20:Y20" si="3">IF(G9&lt;&gt;"",G16*CO2Tax,"")</f>
        <v>-19824.953806451573</v>
      </c>
      <c r="H20" s="3">
        <f t="shared" si="3"/>
        <v>-19824.953806451573</v>
      </c>
      <c r="I20" s="3">
        <f t="shared" si="3"/>
        <v>-19824.953806451573</v>
      </c>
      <c r="J20" s="3">
        <f t="shared" si="3"/>
        <v>-19824.953806451573</v>
      </c>
      <c r="K20" s="3">
        <f t="shared" si="3"/>
        <v>-19824.953806451573</v>
      </c>
      <c r="L20" s="3">
        <f t="shared" si="3"/>
        <v>-19824.953806451573</v>
      </c>
      <c r="M20" s="3">
        <f t="shared" si="3"/>
        <v>-19824.953806451573</v>
      </c>
      <c r="N20" s="3">
        <f t="shared" si="3"/>
        <v>-19824.953806451573</v>
      </c>
      <c r="O20" s="3">
        <f t="shared" si="3"/>
        <v>-19824.953806451573</v>
      </c>
      <c r="P20" s="3">
        <f t="shared" si="3"/>
        <v>-19824.953806451573</v>
      </c>
      <c r="Q20" s="3">
        <f t="shared" si="3"/>
        <v>-19824.953806451573</v>
      </c>
      <c r="R20" s="3">
        <f t="shared" si="3"/>
        <v>-19824.953806451573</v>
      </c>
      <c r="S20" s="3">
        <f t="shared" si="3"/>
        <v>-19824.953806451573</v>
      </c>
      <c r="T20" s="3">
        <f t="shared" si="3"/>
        <v>-19824.953806451573</v>
      </c>
      <c r="U20" s="3">
        <f t="shared" si="3"/>
        <v>-19824.953806451573</v>
      </c>
      <c r="V20" s="3">
        <f t="shared" si="3"/>
        <v>-19824.953806451573</v>
      </c>
      <c r="W20" s="3">
        <f t="shared" si="3"/>
        <v>-19824.953806451573</v>
      </c>
      <c r="X20" s="3">
        <f t="shared" si="3"/>
        <v>-19824.953806451573</v>
      </c>
      <c r="Y20" s="3">
        <f t="shared" si="3"/>
        <v>-19824.953806451573</v>
      </c>
    </row>
    <row r="21" spans="1:25" x14ac:dyDescent="0.25">
      <c r="A21" s="76" t="s">
        <v>107</v>
      </c>
      <c r="B21" s="76"/>
      <c r="C21" s="76"/>
      <c r="D21" s="76"/>
      <c r="E21" s="31"/>
      <c r="F21" s="32">
        <f t="shared" ref="F21:Y21" si="4">IF(F9&lt;&gt;"",F19+F20,"")</f>
        <v>1455313.1677405098</v>
      </c>
      <c r="G21" s="32">
        <f t="shared" si="4"/>
        <v>1455313.1677405098</v>
      </c>
      <c r="H21" s="32">
        <f t="shared" si="4"/>
        <v>1455313.1677405098</v>
      </c>
      <c r="I21" s="32">
        <f t="shared" si="4"/>
        <v>1455313.1677405098</v>
      </c>
      <c r="J21" s="32">
        <f t="shared" si="4"/>
        <v>1455313.1677405098</v>
      </c>
      <c r="K21" s="32">
        <f t="shared" si="4"/>
        <v>1455313.1677405098</v>
      </c>
      <c r="L21" s="32">
        <f t="shared" si="4"/>
        <v>1455313.1677405098</v>
      </c>
      <c r="M21" s="32">
        <f t="shared" si="4"/>
        <v>1455313.1677405098</v>
      </c>
      <c r="N21" s="32">
        <f t="shared" si="4"/>
        <v>1455313.1677405098</v>
      </c>
      <c r="O21" s="32">
        <f t="shared" si="4"/>
        <v>1455313.1677405098</v>
      </c>
      <c r="P21" s="32">
        <f t="shared" si="4"/>
        <v>1455313.1677405098</v>
      </c>
      <c r="Q21" s="32">
        <f t="shared" si="4"/>
        <v>1455313.1677405098</v>
      </c>
      <c r="R21" s="32">
        <f t="shared" si="4"/>
        <v>1455313.1677405098</v>
      </c>
      <c r="S21" s="32">
        <f t="shared" si="4"/>
        <v>1455313.1677405098</v>
      </c>
      <c r="T21" s="32">
        <f t="shared" si="4"/>
        <v>1455313.1677405098</v>
      </c>
      <c r="U21" s="32">
        <f t="shared" si="4"/>
        <v>1455313.1677405098</v>
      </c>
      <c r="V21" s="32">
        <f t="shared" si="4"/>
        <v>1455313.1677405098</v>
      </c>
      <c r="W21" s="32">
        <f t="shared" si="4"/>
        <v>1455313.1677405098</v>
      </c>
      <c r="X21" s="32">
        <f t="shared" si="4"/>
        <v>1455313.1677405098</v>
      </c>
      <c r="Y21" s="32">
        <f t="shared" si="4"/>
        <v>1455313.1677405098</v>
      </c>
    </row>
    <row r="22" spans="1:25" x14ac:dyDescent="0.25"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x14ac:dyDescent="0.25">
      <c r="A23" s="65" t="s">
        <v>148</v>
      </c>
      <c r="B23" s="65"/>
      <c r="C23" s="65"/>
      <c r="D23" s="65"/>
    </row>
    <row r="24" spans="1:25" x14ac:dyDescent="0.25">
      <c r="A24" s="73" t="s">
        <v>144</v>
      </c>
      <c r="B24" s="73"/>
      <c r="C24" s="73"/>
      <c r="D24" s="73"/>
      <c r="F24" s="3">
        <f>IF(F9&gt;UnosPodataka!$M$25,"",-VLOOKUP(F9,Annuity!$B$13:$E$32,3,FALSE))</f>
        <v>-189000</v>
      </c>
      <c r="G24" s="3">
        <f>IF(G9&gt;UnosPodataka!$M$25,"",-VLOOKUP(G9,Annuity!$B$13:$E$32,3,FALSE))</f>
        <v>-183930.21870684056</v>
      </c>
      <c r="H24" s="3">
        <f>IF(H9&gt;UnosPodataka!$M$25,"",-VLOOKUP(H9,Annuity!$B$13:$E$32,3,FALSE))</f>
        <v>-178252.06365850198</v>
      </c>
      <c r="I24" s="3">
        <f>IF(I9&gt;UnosPodataka!$M$25,"",-VLOOKUP(I9,Annuity!$B$13:$E$32,3,FALSE))</f>
        <v>-171892.53000436278</v>
      </c>
      <c r="J24" s="3">
        <f>IF(J9&gt;UnosPodataka!$M$25,"",-VLOOKUP(J9,Annuity!$B$13:$E$32,3,FALSE))</f>
        <v>-164769.85231172683</v>
      </c>
      <c r="K24" s="3">
        <f>IF(K9&gt;UnosPodataka!$M$25,"",-VLOOKUP(K9,Annuity!$B$13:$E$32,3,FALSE))</f>
        <v>-156792.45329597458</v>
      </c>
      <c r="L24" s="3">
        <f>IF(L9&gt;UnosPodataka!$M$25,"",-VLOOKUP(L9,Annuity!$B$13:$E$32,3,FALSE))</f>
        <v>-147857.76639833208</v>
      </c>
      <c r="M24" s="3">
        <f>IF(M9&gt;UnosPodataka!$M$25,"",-VLOOKUP(M9,Annuity!$B$13:$E$32,3,FALSE))</f>
        <v>-137850.91707297252</v>
      </c>
      <c r="N24" s="3">
        <f>IF(N9&gt;UnosPodataka!$M$25,"",-VLOOKUP(N9,Annuity!$B$13:$E$32,3,FALSE))</f>
        <v>-126643.24582856974</v>
      </c>
      <c r="O24" s="3">
        <f>IF(O9&gt;UnosPodataka!$M$25,"",-VLOOKUP(O9,Annuity!$B$13:$E$32,3,FALSE))</f>
        <v>-114090.65403483863</v>
      </c>
      <c r="P24" s="3">
        <f>IF(P9&gt;UnosPodataka!$M$25,"",-VLOOKUP(P9,Annuity!$B$13:$E$32,3,FALSE))</f>
        <v>-100031.75122585981</v>
      </c>
      <c r="Q24" s="3">
        <f>IF(Q9&gt;UnosPodataka!$M$25,"",-VLOOKUP(Q9,Annuity!$B$13:$E$32,3,FALSE))</f>
        <v>-84285.780079803531</v>
      </c>
      <c r="R24" s="3">
        <f>IF(R9&gt;UnosPodataka!$M$25,"",-VLOOKUP(R9,Annuity!$B$13:$E$32,3,FALSE))</f>
        <v>-66650.29239622051</v>
      </c>
      <c r="S24" s="3">
        <f>IF(S9&gt;UnosPodataka!$M$25,"",-VLOOKUP(S9,Annuity!$B$13:$E$32,3,FALSE))</f>
        <v>-46898.546190607507</v>
      </c>
      <c r="T24" s="3">
        <f>IF(T9&gt;UnosPodataka!$M$25,"",-VLOOKUP(T9,Annuity!$B$13:$E$32,3,FALSE))</f>
        <v>-24776.59044032095</v>
      </c>
      <c r="U24" s="3" t="str">
        <f>IF(U9&gt;UnosPodataka!$M$25,"",-VLOOKUP(U9,Annuity!$B$13:$E$32,3,FALSE))</f>
        <v/>
      </c>
      <c r="V24" s="3" t="str">
        <f>IF(V9&gt;UnosPodataka!$M$25,"",-VLOOKUP(V9,Annuity!$B$13:$E$32,3,FALSE))</f>
        <v/>
      </c>
      <c r="W24" s="3" t="str">
        <f>IF(W9&gt;UnosPodataka!$M$25,"",-VLOOKUP(W9,Annuity!$B$13:$E$32,3,FALSE))</f>
        <v/>
      </c>
      <c r="X24" s="3" t="str">
        <f>IF(X9&gt;UnosPodataka!$M$25,"",-VLOOKUP(X9,Annuity!$B$13:$E$32,3,FALSE))</f>
        <v/>
      </c>
      <c r="Y24" s="3" t="str">
        <f>IF(Y9&gt;UnosPodataka!$M$25,"",-VLOOKUP(Y9,Annuity!$B$13:$E$32,3,FALSE))</f>
        <v/>
      </c>
    </row>
    <row r="25" spans="1:25" x14ac:dyDescent="0.25">
      <c r="A25" s="22" t="s">
        <v>145</v>
      </c>
      <c r="B25" s="22"/>
      <c r="C25" s="22"/>
      <c r="D25" s="22"/>
      <c r="F25" s="3">
        <f>IF(F24="",0,IF(F9&gt;UnosPodataka!$M$25,"",VLOOKUP(F9,Annuity!$B$13:$E$32,4,FALSE)+VLOOKUP(F9,Annuity!$B$13:$E$32,3,FALSE)))</f>
        <v>-42248.177442995482</v>
      </c>
      <c r="G25" s="3">
        <f>IF(G24="",0,IF(G9&gt;UnosPodataka!$M$25,"",VLOOKUP(G9,Annuity!$B$13:$E$32,4,FALSE)+VLOOKUP(G9,Annuity!$B$13:$E$32,3,FALSE)))</f>
        <v>-47317.95873615492</v>
      </c>
      <c r="H25" s="3">
        <f>IF(H24="",0,IF(H9&gt;UnosPodataka!$M$25,"",VLOOKUP(H9,Annuity!$B$13:$E$32,4,FALSE)+VLOOKUP(H9,Annuity!$B$13:$E$32,3,FALSE)))</f>
        <v>-52996.1137844935</v>
      </c>
      <c r="I25" s="3">
        <f>IF(I24="",0,IF(I9&gt;UnosPodataka!$M$25,"",VLOOKUP(I9,Annuity!$B$13:$E$32,4,FALSE)+VLOOKUP(I9,Annuity!$B$13:$E$32,3,FALSE)))</f>
        <v>-59355.647438632703</v>
      </c>
      <c r="J25" s="3">
        <f>IF(J24="",0,IF(J9&gt;UnosPodataka!$M$25,"",VLOOKUP(J9,Annuity!$B$13:$E$32,4,FALSE)+VLOOKUP(J9,Annuity!$B$13:$E$32,3,FALSE)))</f>
        <v>-66478.325131268648</v>
      </c>
      <c r="K25" s="3">
        <f>IF(K24="",0,IF(K9&gt;UnosPodataka!$M$25,"",VLOOKUP(K9,Annuity!$B$13:$E$32,4,FALSE)+VLOOKUP(K9,Annuity!$B$13:$E$32,3,FALSE)))</f>
        <v>-74455.724147020897</v>
      </c>
      <c r="L25" s="3">
        <f>IF(L24="",0,IF(L9&gt;UnosPodataka!$M$25,"",VLOOKUP(L9,Annuity!$B$13:$E$32,4,FALSE)+VLOOKUP(L9,Annuity!$B$13:$E$32,3,FALSE)))</f>
        <v>-83390.4110446634</v>
      </c>
      <c r="M25" s="3">
        <f>IF(M24="",0,IF(M9&gt;UnosPodataka!$M$25,"",VLOOKUP(M9,Annuity!$B$13:$E$32,4,FALSE)+VLOOKUP(M9,Annuity!$B$13:$E$32,3,FALSE)))</f>
        <v>-93397.260370022967</v>
      </c>
      <c r="N25" s="3">
        <f>IF(N24="",0,IF(N9&gt;UnosPodataka!$M$25,"",VLOOKUP(N9,Annuity!$B$13:$E$32,4,FALSE)+VLOOKUP(N9,Annuity!$B$13:$E$32,3,FALSE)))</f>
        <v>-104604.93161442575</v>
      </c>
      <c r="O25" s="3">
        <f>IF(O24="",0,IF(O9&gt;UnosPodataka!$M$25,"",VLOOKUP(O9,Annuity!$B$13:$E$32,4,FALSE)+VLOOKUP(O9,Annuity!$B$13:$E$32,3,FALSE)))</f>
        <v>-117157.52340815685</v>
      </c>
      <c r="P25" s="3">
        <f>IF(P24="",0,IF(P9&gt;UnosPodataka!$M$25,"",VLOOKUP(P9,Annuity!$B$13:$E$32,4,FALSE)+VLOOKUP(P9,Annuity!$B$13:$E$32,3,FALSE)))</f>
        <v>-131216.42621713568</v>
      </c>
      <c r="Q25" s="3">
        <f>IF(Q24="",0,IF(Q9&gt;UnosPodataka!$M$25,"",VLOOKUP(Q9,Annuity!$B$13:$E$32,4,FALSE)+VLOOKUP(Q9,Annuity!$B$13:$E$32,3,FALSE)))</f>
        <v>-146962.39736319194</v>
      </c>
      <c r="R25" s="3">
        <f>IF(R24="",0,IF(R9&gt;UnosPodataka!$M$25,"",VLOOKUP(R9,Annuity!$B$13:$E$32,4,FALSE)+VLOOKUP(R9,Annuity!$B$13:$E$32,3,FALSE)))</f>
        <v>-164597.88504677499</v>
      </c>
      <c r="S25" s="3">
        <f>IF(S24="",0,IF(S9&gt;UnosPodataka!$M$25,"",VLOOKUP(S9,Annuity!$B$13:$E$32,4,FALSE)+VLOOKUP(S9,Annuity!$B$13:$E$32,3,FALSE)))</f>
        <v>-184349.63125238798</v>
      </c>
      <c r="T25" s="3">
        <f>IF(T24="",0,IF(T9&gt;UnosPodataka!$M$25,"",VLOOKUP(T9,Annuity!$B$13:$E$32,4,FALSE)+VLOOKUP(T9,Annuity!$B$13:$E$32,3,FALSE)))</f>
        <v>-206471.58700267453</v>
      </c>
      <c r="U25" s="3">
        <f>IF(U24="",0,IF(U9&gt;UnosPodataka!$M$25,"",VLOOKUP(U9,Annuity!$B$13:$E$32,4,FALSE)+VLOOKUP(U9,Annuity!$B$13:$E$32,3,FALSE)))</f>
        <v>0</v>
      </c>
      <c r="V25" s="3">
        <f>IF(V24="",0,IF(V9&gt;UnosPodataka!$M$25,"",VLOOKUP(V9,Annuity!$B$13:$E$32,4,FALSE)+VLOOKUP(V9,Annuity!$B$13:$E$32,3,FALSE)))</f>
        <v>0</v>
      </c>
      <c r="W25" s="3">
        <f>IF(W24="",0,IF(W9&gt;UnosPodataka!$M$25,"",VLOOKUP(W9,Annuity!$B$13:$E$32,4,FALSE)+VLOOKUP(W9,Annuity!$B$13:$E$32,3,FALSE)))</f>
        <v>0</v>
      </c>
      <c r="X25" s="3">
        <f>IF(X24="",0,IF(X9&gt;UnosPodataka!$M$25,"",VLOOKUP(X9,Annuity!$B$13:$E$32,4,FALSE)+VLOOKUP(X9,Annuity!$B$13:$E$32,3,FALSE)))</f>
        <v>0</v>
      </c>
      <c r="Y25" s="3">
        <f>IF(Y24="",0,IF(Y9&gt;UnosPodataka!$M$25,"",VLOOKUP(Y9,Annuity!$B$13:$E$32,4,FALSE)+VLOOKUP(Y9,Annuity!$B$13:$E$32,3,FALSE)))</f>
        <v>0</v>
      </c>
    </row>
    <row r="26" spans="1:25" x14ac:dyDescent="0.25">
      <c r="A26" s="73" t="s">
        <v>108</v>
      </c>
      <c r="B26" s="73"/>
      <c r="C26" s="73"/>
      <c r="D26" s="73"/>
      <c r="F26" s="3">
        <f>IF(F9&lt;&gt;"",-UnosPodataka!$M$9,"")</f>
        <v>-2800</v>
      </c>
      <c r="G26" s="3">
        <f>IF(G9&lt;&gt;"",-UnosPodataka!$M$9,"")</f>
        <v>-2800</v>
      </c>
      <c r="H26" s="3">
        <f>IF(H9&lt;&gt;"",-UnosPodataka!$M$9,"")</f>
        <v>-2800</v>
      </c>
      <c r="I26" s="3">
        <f>IF(I9&lt;&gt;"",-UnosPodataka!$M$9,"")</f>
        <v>-2800</v>
      </c>
      <c r="J26" s="3">
        <f>IF(J9&lt;&gt;"",-UnosPodataka!$M$9,"")</f>
        <v>-2800</v>
      </c>
      <c r="K26" s="3">
        <f>IF(K9&lt;&gt;"",-UnosPodataka!$M$9,"")</f>
        <v>-2800</v>
      </c>
      <c r="L26" s="3">
        <f>IF(L9&lt;&gt;"",-UnosPodataka!$M$9,"")</f>
        <v>-2800</v>
      </c>
      <c r="M26" s="3">
        <f>IF(M9&lt;&gt;"",-UnosPodataka!$M$9,"")</f>
        <v>-2800</v>
      </c>
      <c r="N26" s="3">
        <f>IF(N9&lt;&gt;"",-UnosPodataka!$M$9,"")</f>
        <v>-2800</v>
      </c>
      <c r="O26" s="3">
        <f>IF(O9&lt;&gt;"",-UnosPodataka!$M$9,"")</f>
        <v>-2800</v>
      </c>
      <c r="P26" s="3">
        <f>IF(P9&lt;&gt;"",-UnosPodataka!$M$9,"")</f>
        <v>-2800</v>
      </c>
      <c r="Q26" s="3">
        <f>IF(Q9&lt;&gt;"",-UnosPodataka!$M$9,"")</f>
        <v>-2800</v>
      </c>
      <c r="R26" s="3">
        <f>IF(R9&lt;&gt;"",-UnosPodataka!$M$9,"")</f>
        <v>-2800</v>
      </c>
      <c r="S26" s="3">
        <f>IF(S9&lt;&gt;"",-UnosPodataka!$M$9,"")</f>
        <v>-2800</v>
      </c>
      <c r="T26" s="3">
        <f>IF(T9&lt;&gt;"",-UnosPodataka!$M$9,"")</f>
        <v>-2800</v>
      </c>
      <c r="U26" s="3">
        <f>IF(U9&lt;&gt;"",-UnosPodataka!$M$9,"")</f>
        <v>-2800</v>
      </c>
      <c r="V26" s="3">
        <f>IF(V9&lt;&gt;"",-UnosPodataka!$M$9,"")</f>
        <v>-2800</v>
      </c>
      <c r="W26" s="3">
        <f>IF(W9&lt;&gt;"",-UnosPodataka!$M$9,"")</f>
        <v>-2800</v>
      </c>
      <c r="X26" s="3">
        <f>IF(X9&lt;&gt;"",-UnosPodataka!$M$9,"")</f>
        <v>-2800</v>
      </c>
      <c r="Y26" s="3">
        <f>IF(Y9&lt;&gt;"",-UnosPodataka!$M$9,"")</f>
        <v>-2800</v>
      </c>
    </row>
    <row r="27" spans="1:25" x14ac:dyDescent="0.25">
      <c r="A27" s="73" t="s">
        <v>109</v>
      </c>
      <c r="B27" s="73"/>
      <c r="C27" s="73"/>
      <c r="D27" s="73"/>
      <c r="F27" s="3">
        <f>IF(F9&lt;&gt;"",-Investment*UnosPodataka!$M$11,"")</f>
        <v>-48525</v>
      </c>
      <c r="G27" s="3">
        <f>IF(G9&lt;&gt;"",-Investment*UnosPodataka!$M$11,"")</f>
        <v>-48525</v>
      </c>
      <c r="H27" s="3">
        <f>IF(H9&lt;&gt;"",-Investment*UnosPodataka!$M$11,"")</f>
        <v>-48525</v>
      </c>
      <c r="I27" s="3">
        <f>IF(I9&lt;&gt;"",-Investment*UnosPodataka!$M$11,"")</f>
        <v>-48525</v>
      </c>
      <c r="J27" s="3">
        <f>IF(J9&lt;&gt;"",-Investment*UnosPodataka!$M$11,"")</f>
        <v>-48525</v>
      </c>
      <c r="K27" s="3">
        <f>IF(K9&lt;&gt;"",-Investment*UnosPodataka!$M$11,"")</f>
        <v>-48525</v>
      </c>
      <c r="L27" s="3">
        <f>IF(L9&lt;&gt;"",-Investment*UnosPodataka!$M$11,"")</f>
        <v>-48525</v>
      </c>
      <c r="M27" s="3">
        <f>IF(M9&lt;&gt;"",-Investment*UnosPodataka!$M$11,"")</f>
        <v>-48525</v>
      </c>
      <c r="N27" s="3">
        <f>IF(N9&lt;&gt;"",-Investment*UnosPodataka!$M$11,"")</f>
        <v>-48525</v>
      </c>
      <c r="O27" s="3">
        <f>IF(O9&lt;&gt;"",-Investment*UnosPodataka!$M$11,"")</f>
        <v>-48525</v>
      </c>
      <c r="P27" s="3">
        <f>IF(P9&lt;&gt;"",-Investment*UnosPodataka!$M$11,"")</f>
        <v>-48525</v>
      </c>
      <c r="Q27" s="3">
        <f>IF(Q9&lt;&gt;"",-Investment*UnosPodataka!$M$11,"")</f>
        <v>-48525</v>
      </c>
      <c r="R27" s="3">
        <f>IF(R9&lt;&gt;"",-Investment*UnosPodataka!$M$11,"")</f>
        <v>-48525</v>
      </c>
      <c r="S27" s="3">
        <f>IF(S9&lt;&gt;"",-Investment*UnosPodataka!$M$11,"")</f>
        <v>-48525</v>
      </c>
      <c r="T27" s="3">
        <f>IF(T9&lt;&gt;"",-Investment*UnosPodataka!$M$11,"")</f>
        <v>-48525</v>
      </c>
      <c r="U27" s="3">
        <f>IF(U9&lt;&gt;"",-Investment*UnosPodataka!$M$11,"")</f>
        <v>-48525</v>
      </c>
      <c r="V27" s="3">
        <f>IF(V9&lt;&gt;"",-Investment*UnosPodataka!$M$11,"")</f>
        <v>-48525</v>
      </c>
      <c r="W27" s="3">
        <f>IF(W9&lt;&gt;"",-Investment*UnosPodataka!$M$11,"")</f>
        <v>-48525</v>
      </c>
      <c r="X27" s="3">
        <f>IF(X9&lt;&gt;"",-Investment*UnosPodataka!$M$11,"")</f>
        <v>-48525</v>
      </c>
      <c r="Y27" s="3">
        <f>IF(Y9&lt;&gt;"",-Investment*UnosPodataka!$M$11,"")</f>
        <v>-48525</v>
      </c>
    </row>
    <row r="28" spans="1:25" x14ac:dyDescent="0.25">
      <c r="A28" s="73" t="s">
        <v>119</v>
      </c>
      <c r="B28" s="73"/>
      <c r="C28" s="73"/>
      <c r="D28" s="73"/>
      <c r="F28" s="3">
        <f t="shared" ref="F28:Y28" si="5">IF(F9&lt;&gt;"",-(EPOW*WHOUR+ECONS)*EPrice/Kurs_EUR,"")</f>
        <v>-593247.39103744633</v>
      </c>
      <c r="G28" s="3">
        <f t="shared" si="5"/>
        <v>-593247.39103744633</v>
      </c>
      <c r="H28" s="3">
        <f t="shared" si="5"/>
        <v>-593247.39103744633</v>
      </c>
      <c r="I28" s="3">
        <f t="shared" si="5"/>
        <v>-593247.39103744633</v>
      </c>
      <c r="J28" s="3">
        <f t="shared" si="5"/>
        <v>-593247.39103744633</v>
      </c>
      <c r="K28" s="3">
        <f t="shared" si="5"/>
        <v>-593247.39103744633</v>
      </c>
      <c r="L28" s="3">
        <f t="shared" si="5"/>
        <v>-593247.39103744633</v>
      </c>
      <c r="M28" s="3">
        <f t="shared" si="5"/>
        <v>-593247.39103744633</v>
      </c>
      <c r="N28" s="3">
        <f t="shared" si="5"/>
        <v>-593247.39103744633</v>
      </c>
      <c r="O28" s="3">
        <f t="shared" si="5"/>
        <v>-593247.39103744633</v>
      </c>
      <c r="P28" s="3">
        <f t="shared" si="5"/>
        <v>-593247.39103744633</v>
      </c>
      <c r="Q28" s="3">
        <f t="shared" si="5"/>
        <v>-593247.39103744633</v>
      </c>
      <c r="R28" s="3">
        <f t="shared" si="5"/>
        <v>-593247.39103744633</v>
      </c>
      <c r="S28" s="3">
        <f t="shared" si="5"/>
        <v>-593247.39103744633</v>
      </c>
      <c r="T28" s="3">
        <f t="shared" si="5"/>
        <v>-593247.39103744633</v>
      </c>
      <c r="U28" s="3">
        <f t="shared" si="5"/>
        <v>-593247.39103744633</v>
      </c>
      <c r="V28" s="3">
        <f t="shared" si="5"/>
        <v>-593247.39103744633</v>
      </c>
      <c r="W28" s="3">
        <f t="shared" si="5"/>
        <v>-593247.39103744633</v>
      </c>
      <c r="X28" s="3">
        <f t="shared" si="5"/>
        <v>-593247.39103744633</v>
      </c>
      <c r="Y28" s="3">
        <f t="shared" si="5"/>
        <v>-593247.39103744633</v>
      </c>
    </row>
    <row r="29" spans="1:25" x14ac:dyDescent="0.25">
      <c r="A29" s="73" t="s">
        <v>111</v>
      </c>
      <c r="B29" s="73"/>
      <c r="C29" s="73"/>
      <c r="D29" s="73"/>
      <c r="F29" s="3">
        <f t="shared" ref="F29:Y29" si="6">IF(F9&lt;&gt;"",-WCONS*3.6*WHOUR*WPRICE/Kurs_EUR,"")</f>
        <v>-99447.513812154706</v>
      </c>
      <c r="G29" s="3">
        <f t="shared" si="6"/>
        <v>-99447.513812154706</v>
      </c>
      <c r="H29" s="3">
        <f t="shared" si="6"/>
        <v>-99447.513812154706</v>
      </c>
      <c r="I29" s="3">
        <f t="shared" si="6"/>
        <v>-99447.513812154706</v>
      </c>
      <c r="J29" s="3">
        <f t="shared" si="6"/>
        <v>-99447.513812154706</v>
      </c>
      <c r="K29" s="3">
        <f t="shared" si="6"/>
        <v>-99447.513812154706</v>
      </c>
      <c r="L29" s="3">
        <f t="shared" si="6"/>
        <v>-99447.513812154706</v>
      </c>
      <c r="M29" s="3">
        <f t="shared" si="6"/>
        <v>-99447.513812154706</v>
      </c>
      <c r="N29" s="3">
        <f t="shared" si="6"/>
        <v>-99447.513812154706</v>
      </c>
      <c r="O29" s="3">
        <f t="shared" si="6"/>
        <v>-99447.513812154706</v>
      </c>
      <c r="P29" s="3">
        <f t="shared" si="6"/>
        <v>-99447.513812154706</v>
      </c>
      <c r="Q29" s="3">
        <f t="shared" si="6"/>
        <v>-99447.513812154706</v>
      </c>
      <c r="R29" s="3">
        <f t="shared" si="6"/>
        <v>-99447.513812154706</v>
      </c>
      <c r="S29" s="3">
        <f t="shared" si="6"/>
        <v>-99447.513812154706</v>
      </c>
      <c r="T29" s="3">
        <f t="shared" si="6"/>
        <v>-99447.513812154706</v>
      </c>
      <c r="U29" s="3">
        <f t="shared" si="6"/>
        <v>-99447.513812154706</v>
      </c>
      <c r="V29" s="3">
        <f t="shared" si="6"/>
        <v>-99447.513812154706</v>
      </c>
      <c r="W29" s="3">
        <f t="shared" si="6"/>
        <v>-99447.513812154706</v>
      </c>
      <c r="X29" s="3">
        <f t="shared" si="6"/>
        <v>-99447.513812154706</v>
      </c>
      <c r="Y29" s="3">
        <f t="shared" si="6"/>
        <v>-99447.513812154706</v>
      </c>
    </row>
    <row r="30" spans="1:25" x14ac:dyDescent="0.25">
      <c r="A30" s="73" t="s">
        <v>146</v>
      </c>
      <c r="B30" s="73"/>
      <c r="C30" s="73"/>
      <c r="D30" s="73"/>
      <c r="F30" s="3">
        <f>IF(F9&lt;&gt;"",-Investment*UnosPodataka!$M$12,"")</f>
        <v>-323500</v>
      </c>
      <c r="G30" s="3">
        <f>IF(G9&lt;&gt;"",-Investment*UnosPodataka!$M$12,"")</f>
        <v>-323500</v>
      </c>
      <c r="H30" s="3">
        <f>IF(H9&lt;&gt;"",-Investment*UnosPodataka!$M$12,"")</f>
        <v>-323500</v>
      </c>
      <c r="I30" s="3">
        <f>IF(I9&lt;&gt;"",-Investment*UnosPodataka!$M$12,"")</f>
        <v>-323500</v>
      </c>
      <c r="J30" s="3">
        <f>IF(J9&lt;&gt;"",-Investment*UnosPodataka!$M$12,"")</f>
        <v>-323500</v>
      </c>
      <c r="K30" s="3">
        <f>IF(K9&lt;&gt;"",-Investment*UnosPodataka!$M$12,"")</f>
        <v>-323500</v>
      </c>
      <c r="L30" s="3">
        <f>IF(L9&lt;&gt;"",-Investment*UnosPodataka!$M$12,"")</f>
        <v>-323500</v>
      </c>
      <c r="M30" s="3">
        <f>IF(M9&lt;&gt;"",-Investment*UnosPodataka!$M$12,"")</f>
        <v>-323500</v>
      </c>
      <c r="N30" s="3">
        <f>IF(N9&lt;&gt;"",-Investment*UnosPodataka!$M$12,"")</f>
        <v>-323500</v>
      </c>
      <c r="O30" s="3">
        <f>IF(O9&lt;&gt;"",-Investment*UnosPodataka!$M$12,"")</f>
        <v>-323500</v>
      </c>
      <c r="P30" s="3">
        <f>IF(P9&lt;&gt;"",-Investment*UnosPodataka!$M$12,"")</f>
        <v>-323500</v>
      </c>
      <c r="Q30" s="3">
        <f>IF(Q9&lt;&gt;"",-Investment*UnosPodataka!$M$12,"")</f>
        <v>-323500</v>
      </c>
      <c r="R30" s="3">
        <f>IF(R9&lt;&gt;"",-Investment*UnosPodataka!$M$12,"")</f>
        <v>-323500</v>
      </c>
      <c r="S30" s="3">
        <f>IF(S9&lt;&gt;"",-Investment*UnosPodataka!$M$12,"")</f>
        <v>-323500</v>
      </c>
      <c r="T30" s="3">
        <f>IF(T9&lt;&gt;"",-Investment*UnosPodataka!$M$12,"")</f>
        <v>-323500</v>
      </c>
      <c r="U30" s="3">
        <f>IF(U9&lt;&gt;"",-Investment*UnosPodataka!$M$12,"")</f>
        <v>-323500</v>
      </c>
      <c r="V30" s="3">
        <f>IF(V9&lt;&gt;"",-Investment*UnosPodataka!$M$12,"")</f>
        <v>-323500</v>
      </c>
      <c r="W30" s="3">
        <f>IF(W9&lt;&gt;"",-Investment*UnosPodataka!$M$12,"")</f>
        <v>-323500</v>
      </c>
      <c r="X30" s="3">
        <f>IF(X9&lt;&gt;"",-Investment*UnosPodataka!$M$12,"")</f>
        <v>-323500</v>
      </c>
      <c r="Y30" s="3">
        <f>IF(Y9&lt;&gt;"",-Investment*UnosPodataka!$M$12,"")</f>
        <v>-323500</v>
      </c>
    </row>
    <row r="31" spans="1:25" x14ac:dyDescent="0.25">
      <c r="A31" s="73" t="s">
        <v>112</v>
      </c>
      <c r="B31" s="73"/>
      <c r="C31" s="73"/>
      <c r="D31" s="73"/>
      <c r="F31" s="3">
        <f>IF(F9&lt;&gt;"",-(1-UnosPodataka!$M$10)*'FinInd+CO2'!F19,"")</f>
        <v>0</v>
      </c>
      <c r="G31" s="3">
        <f>IF(G9&lt;&gt;"",-(1-UnosPodataka!$M$10)*'FinInd+CO2'!G19,"")</f>
        <v>0</v>
      </c>
      <c r="H31" s="3">
        <f>IF(H9&lt;&gt;"",-(1-UnosPodataka!$M$10)*'FinInd+CO2'!H19,"")</f>
        <v>0</v>
      </c>
      <c r="I31" s="3">
        <f>IF(I9&lt;&gt;"",-(1-UnosPodataka!$M$10)*'FinInd+CO2'!I19,"")</f>
        <v>0</v>
      </c>
      <c r="J31" s="3">
        <f>IF(J9&lt;&gt;"",-(1-UnosPodataka!$M$10)*'FinInd+CO2'!J19,"")</f>
        <v>0</v>
      </c>
      <c r="K31" s="3">
        <f>IF(K9&lt;&gt;"",-(1-UnosPodataka!$M$10)*'FinInd+CO2'!K19,"")</f>
        <v>0</v>
      </c>
      <c r="L31" s="3">
        <f>IF(L9&lt;&gt;"",-(1-UnosPodataka!$M$10)*'FinInd+CO2'!L19,"")</f>
        <v>0</v>
      </c>
      <c r="M31" s="3">
        <f>IF(M9&lt;&gt;"",-(1-UnosPodataka!$M$10)*'FinInd+CO2'!M19,"")</f>
        <v>0</v>
      </c>
      <c r="N31" s="3">
        <f>IF(N9&lt;&gt;"",-(1-UnosPodataka!$M$10)*'FinInd+CO2'!N19,"")</f>
        <v>0</v>
      </c>
      <c r="O31" s="3">
        <f>IF(O9&lt;&gt;"",-(1-UnosPodataka!$M$10)*'FinInd+CO2'!O19,"")</f>
        <v>0</v>
      </c>
      <c r="P31" s="3">
        <f>IF(P9&lt;&gt;"",-(1-UnosPodataka!$M$10)*'FinInd+CO2'!P19,"")</f>
        <v>0</v>
      </c>
      <c r="Q31" s="3">
        <f>IF(Q9&lt;&gt;"",-(1-UnosPodataka!$M$10)*'FinInd+CO2'!Q19,"")</f>
        <v>0</v>
      </c>
      <c r="R31" s="3">
        <f>IF(R9&lt;&gt;"",-(1-UnosPodataka!$M$10)*'FinInd+CO2'!R19,"")</f>
        <v>0</v>
      </c>
      <c r="S31" s="3">
        <f>IF(S9&lt;&gt;"",-(1-UnosPodataka!$M$10)*'FinInd+CO2'!S19,"")</f>
        <v>0</v>
      </c>
      <c r="T31" s="3">
        <f>IF(T9&lt;&gt;"",-(1-UnosPodataka!$M$10)*'FinInd+CO2'!T19,"")</f>
        <v>0</v>
      </c>
      <c r="U31" s="3">
        <f>IF(U9&lt;&gt;"",-(1-UnosPodataka!$M$10)*'FinInd+CO2'!U19,"")</f>
        <v>0</v>
      </c>
      <c r="V31" s="3">
        <f>IF(V9&lt;&gt;"",-(1-UnosPodataka!$M$10)*'FinInd+CO2'!V19,"")</f>
        <v>0</v>
      </c>
      <c r="W31" s="3">
        <f>IF(W9&lt;&gt;"",-(1-UnosPodataka!$M$10)*'FinInd+CO2'!W19,"")</f>
        <v>0</v>
      </c>
      <c r="X31" s="3">
        <f>IF(X9&lt;&gt;"",-(1-UnosPodataka!$M$10)*'FinInd+CO2'!X19,"")</f>
        <v>0</v>
      </c>
      <c r="Y31" s="3">
        <f>IF(Y9&lt;&gt;"",-(1-UnosPodataka!$M$10)*'FinInd+CO2'!Y19,"")</f>
        <v>0</v>
      </c>
    </row>
    <row r="32" spans="1:25" x14ac:dyDescent="0.25">
      <c r="A32" s="76" t="s">
        <v>120</v>
      </c>
      <c r="B32" s="76"/>
      <c r="C32" s="76"/>
      <c r="D32" s="76"/>
      <c r="E32" s="32">
        <f>-SUM(E11:E13)</f>
        <v>-3235000</v>
      </c>
      <c r="F32" s="32">
        <f>IF(F9&lt;&gt;"",SUM(F24:F31),"")</f>
        <v>-1298768.0822925966</v>
      </c>
      <c r="G32" s="32">
        <f t="shared" ref="G32:Y32" si="7">IF(G9&lt;&gt;"",SUM(G24:G31),"")</f>
        <v>-1298768.0822925966</v>
      </c>
      <c r="H32" s="32">
        <f t="shared" si="7"/>
        <v>-1298768.0822925966</v>
      </c>
      <c r="I32" s="32">
        <f t="shared" si="7"/>
        <v>-1298768.0822925966</v>
      </c>
      <c r="J32" s="32">
        <f t="shared" si="7"/>
        <v>-1298768.0822925966</v>
      </c>
      <c r="K32" s="32">
        <f t="shared" si="7"/>
        <v>-1298768.0822925966</v>
      </c>
      <c r="L32" s="32">
        <f t="shared" si="7"/>
        <v>-1298768.0822925966</v>
      </c>
      <c r="M32" s="32">
        <f t="shared" si="7"/>
        <v>-1298768.0822925966</v>
      </c>
      <c r="N32" s="32">
        <f t="shared" si="7"/>
        <v>-1298768.0822925966</v>
      </c>
      <c r="O32" s="32">
        <f t="shared" si="7"/>
        <v>-1298768.0822925966</v>
      </c>
      <c r="P32" s="32">
        <f t="shared" si="7"/>
        <v>-1298768.0822925966</v>
      </c>
      <c r="Q32" s="32">
        <f t="shared" si="7"/>
        <v>-1298768.0822925966</v>
      </c>
      <c r="R32" s="32">
        <f t="shared" si="7"/>
        <v>-1298768.0822925966</v>
      </c>
      <c r="S32" s="32">
        <f t="shared" si="7"/>
        <v>-1298768.0822925966</v>
      </c>
      <c r="T32" s="32">
        <f t="shared" si="7"/>
        <v>-1298768.0822925966</v>
      </c>
      <c r="U32" s="32">
        <f t="shared" si="7"/>
        <v>-1067519.904849601</v>
      </c>
      <c r="V32" s="32">
        <f t="shared" si="7"/>
        <v>-1067519.904849601</v>
      </c>
      <c r="W32" s="32">
        <f t="shared" si="7"/>
        <v>-1067519.904849601</v>
      </c>
      <c r="X32" s="32">
        <f t="shared" si="7"/>
        <v>-1067519.904849601</v>
      </c>
      <c r="Y32" s="32">
        <f t="shared" si="7"/>
        <v>-1067519.904849601</v>
      </c>
    </row>
    <row r="33" spans="1:25" x14ac:dyDescent="0.25"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25" x14ac:dyDescent="0.25">
      <c r="A34" t="s">
        <v>188</v>
      </c>
      <c r="E34" s="3">
        <f>-SUM(E11:E13)</f>
        <v>-3235000</v>
      </c>
      <c r="F34" s="3">
        <f>+F32-F30-F37</f>
        <v>-1005087.0717262329</v>
      </c>
      <c r="G34" s="3">
        <f t="shared" ref="G34:Y34" si="8">+G32-G30-G37</f>
        <v>-1005847.5389202068</v>
      </c>
      <c r="H34" s="3">
        <f t="shared" si="8"/>
        <v>-1006699.2621774576</v>
      </c>
      <c r="I34" s="3">
        <f t="shared" si="8"/>
        <v>-1007653.1922255785</v>
      </c>
      <c r="J34" s="3">
        <f t="shared" si="8"/>
        <v>-1008721.5938794739</v>
      </c>
      <c r="K34" s="3">
        <f t="shared" si="8"/>
        <v>-1009918.2037318368</v>
      </c>
      <c r="L34" s="3">
        <f t="shared" si="8"/>
        <v>-1011258.4067664831</v>
      </c>
      <c r="M34" s="3">
        <f t="shared" si="8"/>
        <v>-1012759.4341652871</v>
      </c>
      <c r="N34" s="3">
        <f t="shared" si="8"/>
        <v>-1014440.5848519474</v>
      </c>
      <c r="O34" s="3">
        <f t="shared" si="8"/>
        <v>-1016323.4736210071</v>
      </c>
      <c r="P34" s="3">
        <f t="shared" si="8"/>
        <v>-1018432.3090423539</v>
      </c>
      <c r="Q34" s="3">
        <f t="shared" si="8"/>
        <v>-1020794.2047142624</v>
      </c>
      <c r="R34" s="3">
        <f t="shared" si="8"/>
        <v>-1023439.5278667999</v>
      </c>
      <c r="S34" s="3">
        <f t="shared" si="8"/>
        <v>-1026402.2897976418</v>
      </c>
      <c r="T34" s="3">
        <f t="shared" si="8"/>
        <v>-1029720.5831601848</v>
      </c>
      <c r="U34" s="3">
        <f t="shared" si="8"/>
        <v>-802188.89428323728</v>
      </c>
      <c r="V34" s="3">
        <f t="shared" si="8"/>
        <v>-802188.89428323728</v>
      </c>
      <c r="W34" s="3">
        <f t="shared" si="8"/>
        <v>-802188.89428323728</v>
      </c>
      <c r="X34" s="3">
        <f t="shared" si="8"/>
        <v>-802188.89428323728</v>
      </c>
      <c r="Y34" s="3">
        <f t="shared" si="8"/>
        <v>-802188.89428323728</v>
      </c>
    </row>
    <row r="35" spans="1:25" x14ac:dyDescent="0.25">
      <c r="A35" s="65" t="s">
        <v>149</v>
      </c>
      <c r="B35" s="65"/>
      <c r="C35" s="65"/>
      <c r="D35" s="65"/>
      <c r="F35" s="3">
        <f>IF(F9&lt;&gt;"",F21+F32-F25,"")</f>
        <v>198793.26289090875</v>
      </c>
      <c r="G35" s="3">
        <f t="shared" ref="G35:Y35" si="9">IF(G9&lt;&gt;"",G21+G32-G25,"")</f>
        <v>203863.04418406819</v>
      </c>
      <c r="H35" s="3">
        <f t="shared" si="9"/>
        <v>209541.19923240677</v>
      </c>
      <c r="I35" s="3">
        <f t="shared" si="9"/>
        <v>215900.73288654597</v>
      </c>
      <c r="J35" s="3">
        <f t="shared" si="9"/>
        <v>223023.41057918192</v>
      </c>
      <c r="K35" s="3">
        <f t="shared" si="9"/>
        <v>231000.80959493417</v>
      </c>
      <c r="L35" s="3">
        <f t="shared" si="9"/>
        <v>239935.49649257667</v>
      </c>
      <c r="M35" s="3">
        <f t="shared" si="9"/>
        <v>249942.34581793624</v>
      </c>
      <c r="N35" s="3">
        <f t="shared" si="9"/>
        <v>261150.017062339</v>
      </c>
      <c r="O35" s="3">
        <f t="shared" si="9"/>
        <v>273702.60885607009</v>
      </c>
      <c r="P35" s="3">
        <f t="shared" si="9"/>
        <v>287761.51166504895</v>
      </c>
      <c r="Q35" s="3">
        <f t="shared" si="9"/>
        <v>303507.4828111052</v>
      </c>
      <c r="R35" s="3">
        <f t="shared" si="9"/>
        <v>321142.97049468826</v>
      </c>
      <c r="S35" s="3">
        <f t="shared" si="9"/>
        <v>340894.71670030127</v>
      </c>
      <c r="T35" s="3">
        <f t="shared" si="9"/>
        <v>363016.67245058779</v>
      </c>
      <c r="U35" s="3">
        <f t="shared" si="9"/>
        <v>387793.26289090887</v>
      </c>
      <c r="V35" s="3">
        <f t="shared" si="9"/>
        <v>387793.26289090887</v>
      </c>
      <c r="W35" s="3">
        <f t="shared" si="9"/>
        <v>387793.26289090887</v>
      </c>
      <c r="X35" s="3">
        <f t="shared" si="9"/>
        <v>387793.26289090887</v>
      </c>
      <c r="Y35" s="3">
        <f t="shared" si="9"/>
        <v>387793.26289090887</v>
      </c>
    </row>
    <row r="36" spans="1:25" x14ac:dyDescent="0.25">
      <c r="A36" s="67"/>
      <c r="B36" s="67"/>
      <c r="C36" s="67"/>
      <c r="D36" s="67"/>
    </row>
    <row r="37" spans="1:25" x14ac:dyDescent="0.25">
      <c r="A37" s="73" t="s">
        <v>114</v>
      </c>
      <c r="B37" s="73"/>
      <c r="C37" s="73"/>
      <c r="D37" s="73"/>
      <c r="F37" s="3">
        <f>IF(F9&lt;&gt;"",IF(F35&gt;0,F35*VAT,0),"")</f>
        <v>29818.98943363631</v>
      </c>
      <c r="G37" s="3">
        <f t="shared" ref="G37:Y37" si="10">IF(G9&lt;&gt;"",IF(G35&gt;0,G35*VAT,0),"")</f>
        <v>30579.456627610227</v>
      </c>
      <c r="H37" s="3">
        <f t="shared" si="10"/>
        <v>31431.179884861012</v>
      </c>
      <c r="I37" s="3">
        <f t="shared" si="10"/>
        <v>32385.109932981894</v>
      </c>
      <c r="J37" s="3">
        <f t="shared" si="10"/>
        <v>33453.511586877285</v>
      </c>
      <c r="K37" s="3">
        <f t="shared" si="10"/>
        <v>34650.121439240123</v>
      </c>
      <c r="L37" s="3">
        <f t="shared" si="10"/>
        <v>35990.324473886496</v>
      </c>
      <c r="M37" s="3">
        <f t="shared" si="10"/>
        <v>37491.351872690437</v>
      </c>
      <c r="N37" s="3">
        <f t="shared" si="10"/>
        <v>39172.502559350847</v>
      </c>
      <c r="O37" s="3">
        <f t="shared" si="10"/>
        <v>41055.391328410515</v>
      </c>
      <c r="P37" s="3">
        <f t="shared" si="10"/>
        <v>43164.226749757341</v>
      </c>
      <c r="Q37" s="3">
        <f t="shared" si="10"/>
        <v>45526.122421665779</v>
      </c>
      <c r="R37" s="3">
        <f t="shared" si="10"/>
        <v>48171.445574203237</v>
      </c>
      <c r="S37" s="3">
        <f t="shared" si="10"/>
        <v>51134.207505045189</v>
      </c>
      <c r="T37" s="3">
        <f t="shared" si="10"/>
        <v>54452.500867588169</v>
      </c>
      <c r="U37" s="3">
        <f t="shared" si="10"/>
        <v>58168.989433636329</v>
      </c>
      <c r="V37" s="3">
        <f t="shared" si="10"/>
        <v>58168.989433636329</v>
      </c>
      <c r="W37" s="3">
        <f t="shared" si="10"/>
        <v>58168.989433636329</v>
      </c>
      <c r="X37" s="3">
        <f t="shared" si="10"/>
        <v>58168.989433636329</v>
      </c>
      <c r="Y37" s="3">
        <f t="shared" si="10"/>
        <v>58168.989433636329</v>
      </c>
    </row>
    <row r="38" spans="1:25" x14ac:dyDescent="0.25">
      <c r="A38" s="65" t="s">
        <v>115</v>
      </c>
      <c r="B38" s="65"/>
      <c r="C38" s="65"/>
      <c r="D38" s="65"/>
      <c r="E38" s="31"/>
      <c r="F38" s="32">
        <f>IF(F9&lt;&gt;"",F35-F37,"")</f>
        <v>168974.27345727244</v>
      </c>
      <c r="G38" s="32">
        <f t="shared" ref="G38:Y38" si="11">IF(G9&lt;&gt;"",G35-G37,"")</f>
        <v>173283.58755645796</v>
      </c>
      <c r="H38" s="32">
        <f t="shared" si="11"/>
        <v>178110.01934754575</v>
      </c>
      <c r="I38" s="32">
        <f t="shared" si="11"/>
        <v>183515.62295356407</v>
      </c>
      <c r="J38" s="32">
        <f t="shared" si="11"/>
        <v>189569.89899230463</v>
      </c>
      <c r="K38" s="32">
        <f t="shared" si="11"/>
        <v>196350.68815569405</v>
      </c>
      <c r="L38" s="32">
        <f t="shared" si="11"/>
        <v>203945.17201869018</v>
      </c>
      <c r="M38" s="32">
        <f t="shared" si="11"/>
        <v>212450.99394524581</v>
      </c>
      <c r="N38" s="32">
        <f t="shared" si="11"/>
        <v>221977.51450298814</v>
      </c>
      <c r="O38" s="32">
        <f t="shared" si="11"/>
        <v>232647.21752765958</v>
      </c>
      <c r="P38" s="32">
        <f t="shared" si="11"/>
        <v>244597.28491529162</v>
      </c>
      <c r="Q38" s="32">
        <f t="shared" si="11"/>
        <v>257981.36038943942</v>
      </c>
      <c r="R38" s="32">
        <f t="shared" si="11"/>
        <v>272971.52492048504</v>
      </c>
      <c r="S38" s="32">
        <f t="shared" si="11"/>
        <v>289760.50919525611</v>
      </c>
      <c r="T38" s="32">
        <f t="shared" si="11"/>
        <v>308564.17158299964</v>
      </c>
      <c r="U38" s="32">
        <f t="shared" si="11"/>
        <v>329624.27345727256</v>
      </c>
      <c r="V38" s="32">
        <f t="shared" si="11"/>
        <v>329624.27345727256</v>
      </c>
      <c r="W38" s="32">
        <f t="shared" si="11"/>
        <v>329624.27345727256</v>
      </c>
      <c r="X38" s="32">
        <f t="shared" si="11"/>
        <v>329624.27345727256</v>
      </c>
      <c r="Y38" s="32">
        <f t="shared" si="11"/>
        <v>329624.27345727256</v>
      </c>
    </row>
    <row r="39" spans="1:25" x14ac:dyDescent="0.25">
      <c r="A39" s="77"/>
      <c r="B39" s="77"/>
      <c r="C39" s="77"/>
      <c r="D39" s="77"/>
    </row>
    <row r="40" spans="1:25" x14ac:dyDescent="0.25">
      <c r="A40" s="33" t="s">
        <v>169</v>
      </c>
      <c r="B40" s="18"/>
      <c r="C40" s="33"/>
      <c r="D40" s="18"/>
      <c r="E40" s="3">
        <f>-SUM(E11:E13)</f>
        <v>-3235000</v>
      </c>
      <c r="F40" s="3">
        <f>+F38+F25-F30</f>
        <v>450226.09601427696</v>
      </c>
      <c r="G40" s="3">
        <f t="shared" ref="G40:X40" si="12">+G38+G25-G30</f>
        <v>449465.62882030301</v>
      </c>
      <c r="H40" s="3">
        <f t="shared" si="12"/>
        <v>448613.90556305228</v>
      </c>
      <c r="I40" s="3">
        <f t="shared" si="12"/>
        <v>447659.97551493137</v>
      </c>
      <c r="J40" s="3">
        <f t="shared" si="12"/>
        <v>446591.57386103598</v>
      </c>
      <c r="K40" s="3">
        <f t="shared" si="12"/>
        <v>445394.96400867315</v>
      </c>
      <c r="L40" s="3">
        <f t="shared" si="12"/>
        <v>444054.76097402675</v>
      </c>
      <c r="M40" s="3">
        <f t="shared" si="12"/>
        <v>442553.73357522284</v>
      </c>
      <c r="N40" s="3">
        <f t="shared" si="12"/>
        <v>440872.58288856241</v>
      </c>
      <c r="O40" s="3">
        <f t="shared" si="12"/>
        <v>438989.69411950273</v>
      </c>
      <c r="P40" s="3">
        <f t="shared" si="12"/>
        <v>436880.85869815596</v>
      </c>
      <c r="Q40" s="3">
        <f t="shared" si="12"/>
        <v>434518.96302624745</v>
      </c>
      <c r="R40" s="3">
        <f t="shared" si="12"/>
        <v>431873.63987371005</v>
      </c>
      <c r="S40" s="3">
        <f t="shared" si="12"/>
        <v>428910.87794286816</v>
      </c>
      <c r="T40" s="3">
        <f t="shared" si="12"/>
        <v>425592.58458032511</v>
      </c>
      <c r="U40" s="3">
        <f t="shared" si="12"/>
        <v>653124.27345727256</v>
      </c>
      <c r="V40" s="3">
        <f t="shared" si="12"/>
        <v>653124.27345727256</v>
      </c>
      <c r="W40" s="3">
        <f t="shared" si="12"/>
        <v>653124.27345727256</v>
      </c>
      <c r="X40" s="3">
        <f t="shared" si="12"/>
        <v>653124.27345727256</v>
      </c>
      <c r="Y40" s="3">
        <f>+Y38+Y25-Y30</f>
        <v>653124.27345727256</v>
      </c>
    </row>
    <row r="41" spans="1:25" x14ac:dyDescent="0.25">
      <c r="A41" s="33" t="s">
        <v>151</v>
      </c>
      <c r="B41" s="18"/>
      <c r="C41" s="33"/>
      <c r="D41" s="18"/>
      <c r="E41" s="3">
        <f>+E40</f>
        <v>-3235000</v>
      </c>
      <c r="F41" s="3">
        <f>+E41+F40</f>
        <v>-2784773.9039857229</v>
      </c>
      <c r="G41" s="3">
        <f t="shared" ref="G41:Y41" si="13">+F41+G40</f>
        <v>-2335308.27516542</v>
      </c>
      <c r="H41" s="3">
        <f t="shared" si="13"/>
        <v>-1886694.3696023677</v>
      </c>
      <c r="I41" s="3">
        <f t="shared" si="13"/>
        <v>-1439034.3940874364</v>
      </c>
      <c r="J41" s="3">
        <f t="shared" si="13"/>
        <v>-992442.82022640039</v>
      </c>
      <c r="K41" s="3">
        <f t="shared" si="13"/>
        <v>-547047.8562177273</v>
      </c>
      <c r="L41" s="3">
        <f t="shared" si="13"/>
        <v>-102993.09524370055</v>
      </c>
      <c r="M41" s="3">
        <f t="shared" si="13"/>
        <v>339560.63833152229</v>
      </c>
      <c r="N41" s="3">
        <f t="shared" si="13"/>
        <v>780433.2212200847</v>
      </c>
      <c r="O41" s="3">
        <f t="shared" si="13"/>
        <v>1219422.9153395875</v>
      </c>
      <c r="P41" s="3">
        <f t="shared" si="13"/>
        <v>1656303.7740377435</v>
      </c>
      <c r="Q41" s="3">
        <f t="shared" si="13"/>
        <v>2090822.7370639909</v>
      </c>
      <c r="R41" s="3">
        <f t="shared" si="13"/>
        <v>2522696.3769377009</v>
      </c>
      <c r="S41" s="3">
        <f t="shared" si="13"/>
        <v>2951607.2548805689</v>
      </c>
      <c r="T41" s="3">
        <f t="shared" si="13"/>
        <v>3377199.839460894</v>
      </c>
      <c r="U41" s="3">
        <f t="shared" si="13"/>
        <v>4030324.1129181664</v>
      </c>
      <c r="V41" s="3">
        <f t="shared" si="13"/>
        <v>4683448.3863754394</v>
      </c>
      <c r="W41" s="3">
        <f t="shared" si="13"/>
        <v>5336572.6598327123</v>
      </c>
      <c r="X41" s="3">
        <f t="shared" si="13"/>
        <v>5989696.9332899852</v>
      </c>
      <c r="Y41" s="3">
        <f t="shared" si="13"/>
        <v>6642821.2067472581</v>
      </c>
    </row>
    <row r="42" spans="1:25" x14ac:dyDescent="0.25">
      <c r="A42" s="18"/>
      <c r="B42" s="18"/>
      <c r="C42" s="18"/>
      <c r="D42" s="18"/>
      <c r="J42" s="3"/>
    </row>
    <row r="43" spans="1:25" x14ac:dyDescent="0.25">
      <c r="A43" s="33" t="s">
        <v>73</v>
      </c>
      <c r="B43" s="18"/>
      <c r="C43" s="33"/>
      <c r="D43" s="18"/>
      <c r="E43" s="7">
        <f>FDS</f>
        <v>6.0225656877897993E-2</v>
      </c>
    </row>
    <row r="44" spans="1:25" x14ac:dyDescent="0.25">
      <c r="A44" s="33" t="s">
        <v>152</v>
      </c>
      <c r="B44" s="18"/>
      <c r="C44" s="33"/>
      <c r="D44" s="18"/>
      <c r="E44" s="3">
        <f>IF(E9&lt;&gt;"",E40*(1+$E$43)^-E9,"")</f>
        <v>-3235000</v>
      </c>
      <c r="F44" s="3">
        <f>IF(F9&lt;&gt;"",F40*(1+$E$43)^-F9,"")</f>
        <v>424651.19863263948</v>
      </c>
      <c r="G44" s="3">
        <f>IF(G9&lt;&gt;"",G40*(1+$E$43)^-G9,"")</f>
        <v>399852.54714070598</v>
      </c>
      <c r="H44" s="3">
        <f>IF(H9&lt;&gt;"",H40*(1+$E$43)^-'FinInd+CO2'!H9,"")</f>
        <v>376424.43052269507</v>
      </c>
      <c r="I44" s="3">
        <f>IF(I9&lt;&gt;"",I40*(1+$E$43)^-'FinInd+CO2'!I9,"")</f>
        <v>354286.84575354011</v>
      </c>
      <c r="J44" s="3">
        <f>IF(J9&lt;&gt;"",J40*(1+$E$43)^-'FinInd+CO2'!J9,"")</f>
        <v>333364.21310869016</v>
      </c>
      <c r="K44" s="3">
        <f>IF(K9&lt;&gt;"",K40*(1+$E$43)^-'FinInd+CO2'!K9,"")</f>
        <v>313585.11806527054</v>
      </c>
      <c r="L44" s="3">
        <f>IF(L9&lt;&gt;"",L40*(1+$E$43)^-'FinInd+CO2'!L9,"")</f>
        <v>294882.06747907674</v>
      </c>
      <c r="M44" s="3">
        <f>IF(M9&lt;&gt;"",M40*(1+$E$43)^-'FinInd+CO2'!M9,"")</f>
        <v>277191.25920474157</v>
      </c>
      <c r="N44" s="3">
        <f>IF(N9&lt;&gt;"",N40*(1+$E$43)^-'FinInd+CO2'!N9,"")</f>
        <v>260452.36437249184</v>
      </c>
      <c r="O44" s="3">
        <f>IF(O9&lt;&gt;"",O40*(1+$E$43)^-'FinInd+CO2'!O9,"")</f>
        <v>244608.32157829689</v>
      </c>
      <c r="P44" s="3">
        <f>IF(P9&lt;&gt;"",P40*(1+$E$43)^-'FinInd+CO2'!P9,"")</f>
        <v>229605.14228506215</v>
      </c>
      <c r="Q44" s="3">
        <f>IF(Q9&lt;&gt;"",Q40*(1+$E$43)^-'FinInd+CO2'!Q9,"")</f>
        <v>215391.72677097353</v>
      </c>
      <c r="R44" s="3">
        <f>IF(R9&lt;&gt;"",R40*(1+$E$43)^-'FinInd+CO2'!R9,"")</f>
        <v>201919.68999728528</v>
      </c>
      <c r="S44" s="3">
        <f>IF(S9&lt;&gt;"",S40*(1+$E$43)^-'FinInd+CO2'!S9,"")</f>
        <v>189143.19680188777</v>
      </c>
      <c r="T44" s="3">
        <f>IF(T9&lt;&gt;"",T40*(1+$E$43)^-'FinInd+CO2'!T9,"")</f>
        <v>177018.80585701516</v>
      </c>
      <c r="U44" s="3">
        <f>IF(U9&lt;&gt;"",U40*(1+$E$43)^-'FinInd+CO2'!U9,"")</f>
        <v>256225.80685201052</v>
      </c>
      <c r="V44" s="3">
        <f>IF(V9&lt;&gt;"",V40*(1+$E$43)^-'FinInd+CO2'!V9,"")</f>
        <v>241671.01143970809</v>
      </c>
      <c r="W44" s="3">
        <f>IF(W9&lt;&gt;"",W40*(1+$E$43)^-'FinInd+CO2'!W9,"")</f>
        <v>227942.99484448371</v>
      </c>
      <c r="X44" s="3">
        <f>IF(X9&lt;&gt;"",X40*(1+$E$43)^-'FinInd+CO2'!X9,"")</f>
        <v>214994.79225556509</v>
      </c>
      <c r="Y44" s="3">
        <f>IF(Y9&lt;&gt;"",Y40*(1+$E$43)^-'FinInd+CO2'!Y9,"")</f>
        <v>202782.10667780999</v>
      </c>
    </row>
    <row r="45" spans="1:25" x14ac:dyDescent="0.25">
      <c r="A45" s="33" t="s">
        <v>159</v>
      </c>
      <c r="B45" s="18"/>
      <c r="C45" s="33"/>
      <c r="D45" s="18"/>
      <c r="E45" s="3">
        <f>+E44</f>
        <v>-3235000</v>
      </c>
      <c r="F45" s="3">
        <f>+E45+F44</f>
        <v>-2810348.8013673606</v>
      </c>
      <c r="G45" s="3">
        <f t="shared" ref="G45:Y45" si="14">+F45+G44</f>
        <v>-2410496.2542266548</v>
      </c>
      <c r="H45" s="3">
        <f t="shared" si="14"/>
        <v>-2034071.8237039596</v>
      </c>
      <c r="I45" s="3">
        <f t="shared" si="14"/>
        <v>-1679784.9779504195</v>
      </c>
      <c r="J45" s="3">
        <f t="shared" si="14"/>
        <v>-1346420.7648417293</v>
      </c>
      <c r="K45" s="3">
        <f t="shared" si="14"/>
        <v>-1032835.6467764587</v>
      </c>
      <c r="L45" s="3">
        <f t="shared" si="14"/>
        <v>-737953.57929738192</v>
      </c>
      <c r="M45" s="3">
        <f t="shared" si="14"/>
        <v>-460762.32009264035</v>
      </c>
      <c r="N45" s="3">
        <f t="shared" si="14"/>
        <v>-200309.95572014851</v>
      </c>
      <c r="O45" s="3">
        <f t="shared" si="14"/>
        <v>44298.365858148376</v>
      </c>
      <c r="P45" s="3">
        <f t="shared" si="14"/>
        <v>273903.50814321055</v>
      </c>
      <c r="Q45" s="3">
        <f t="shared" si="14"/>
        <v>489295.23491418408</v>
      </c>
      <c r="R45" s="3">
        <f t="shared" si="14"/>
        <v>691214.92491146934</v>
      </c>
      <c r="S45" s="3">
        <f t="shared" si="14"/>
        <v>880358.12171335705</v>
      </c>
      <c r="T45" s="3">
        <f t="shared" si="14"/>
        <v>1057376.9275703721</v>
      </c>
      <c r="U45" s="3">
        <f t="shared" si="14"/>
        <v>1313602.7344223827</v>
      </c>
      <c r="V45" s="3">
        <f t="shared" si="14"/>
        <v>1555273.7458620907</v>
      </c>
      <c r="W45" s="3">
        <f t="shared" si="14"/>
        <v>1783216.7407065744</v>
      </c>
      <c r="X45" s="3">
        <f t="shared" si="14"/>
        <v>1998211.5329621395</v>
      </c>
      <c r="Y45" s="3">
        <f t="shared" si="14"/>
        <v>2200993.6396399494</v>
      </c>
    </row>
    <row r="46" spans="1:25" x14ac:dyDescent="0.25">
      <c r="A46" s="33"/>
      <c r="B46" s="18"/>
      <c r="C46" s="33"/>
      <c r="D46" s="18"/>
    </row>
    <row r="47" spans="1:25" x14ac:dyDescent="0.25">
      <c r="A47" s="41" t="s">
        <v>160</v>
      </c>
      <c r="B47" s="42"/>
      <c r="C47" s="41"/>
      <c r="D47" s="42"/>
      <c r="E47" s="46">
        <f>+NPV(E43,E40:Y40)</f>
        <v>2075967.1541257848</v>
      </c>
      <c r="F47" s="44"/>
    </row>
    <row r="48" spans="1:25" x14ac:dyDescent="0.25">
      <c r="A48" s="41" t="s">
        <v>161</v>
      </c>
      <c r="B48" s="42"/>
      <c r="C48" s="41"/>
      <c r="D48" s="42"/>
      <c r="E48" s="45">
        <f>+IRR(E40:Y40,10%)</f>
        <v>0.13017991444566412</v>
      </c>
      <c r="F48" s="44"/>
      <c r="H48" s="3"/>
    </row>
    <row r="49" spans="1:25" x14ac:dyDescent="0.25">
      <c r="A49" s="41" t="s">
        <v>162</v>
      </c>
      <c r="B49" s="42"/>
      <c r="C49" s="41"/>
      <c r="D49" s="42"/>
      <c r="E49" s="46">
        <f>+NPV(E43,F21:Y21)/-NPV(E43,E34:Y34)</f>
        <v>1.2215964132927748</v>
      </c>
      <c r="F49" s="44"/>
      <c r="H49" s="3"/>
    </row>
    <row r="50" spans="1:25" x14ac:dyDescent="0.25">
      <c r="A50" s="41" t="s">
        <v>163</v>
      </c>
      <c r="B50" s="42"/>
      <c r="C50" s="41"/>
      <c r="D50" s="42"/>
      <c r="E50" s="44" cm="1">
        <f t="array" ref="E50">+LOOKUP(INDEX(E41:Y41,MATCH(TRUE,E41:Y41&gt;0,0)),E41:Y41,E9:Y9)</f>
        <v>8</v>
      </c>
      <c r="F50" s="44" t="s">
        <v>164</v>
      </c>
    </row>
    <row r="51" spans="1:25" x14ac:dyDescent="0.25">
      <c r="A51" s="41" t="s">
        <v>165</v>
      </c>
      <c r="B51" s="42"/>
      <c r="C51" s="41"/>
      <c r="D51" s="42"/>
      <c r="E51" s="44" cm="1">
        <f t="array" ref="E51">+LOOKUP(INDEX(E45:Y45,MATCH(TRUE,E45:Y45&gt;0,0)),E45:Y45,E9:Y9)</f>
        <v>10</v>
      </c>
      <c r="F51" s="44" t="s">
        <v>164</v>
      </c>
    </row>
    <row r="52" spans="1:25" x14ac:dyDescent="0.25">
      <c r="A52" s="33"/>
      <c r="B52" s="18"/>
      <c r="C52" s="33"/>
      <c r="D52" s="18"/>
    </row>
    <row r="53" spans="1:25" x14ac:dyDescent="0.25">
      <c r="A53" s="33" t="s">
        <v>171</v>
      </c>
      <c r="B53" s="18"/>
      <c r="C53" s="33"/>
      <c r="D53" s="18"/>
      <c r="E53" s="3">
        <f>IF(E9&lt;&gt;"",E21*(1+$E$43)^-'FinInd+CO2'!E9,"")</f>
        <v>0</v>
      </c>
      <c r="F53" s="3">
        <f>IF(F9&lt;&gt;"",F21*(1+$E$43)^-F9,"")</f>
        <v>1372644.7368063575</v>
      </c>
      <c r="G53" s="3">
        <f>IF(G9&lt;&gt;"",G21*(1+$E$43)^-G9,"")</f>
        <v>1294672.2501023568</v>
      </c>
      <c r="H53" s="3">
        <f t="shared" ref="H53:Y53" si="15">IF(H9&lt;&gt;"",H21*(1+$E$43)^-H9,"")</f>
        <v>1221128.9565608569</v>
      </c>
      <c r="I53" s="3">
        <f t="shared" si="15"/>
        <v>1151763.257792477</v>
      </c>
      <c r="J53" s="3">
        <f t="shared" si="15"/>
        <v>1086337.8473448139</v>
      </c>
      <c r="K53" s="3">
        <f t="shared" si="15"/>
        <v>1024628.898855183</v>
      </c>
      <c r="L53" s="3">
        <f t="shared" si="15"/>
        <v>966425.30031999166</v>
      </c>
      <c r="M53" s="3">
        <f t="shared" si="15"/>
        <v>911527.93186110468</v>
      </c>
      <c r="N53" s="3">
        <f t="shared" si="15"/>
        <v>859748.98451837944</v>
      </c>
      <c r="O53" s="3">
        <f t="shared" si="15"/>
        <v>810911.31773789308</v>
      </c>
      <c r="P53" s="3">
        <f t="shared" si="15"/>
        <v>764847.85335777106</v>
      </c>
      <c r="Q53" s="3">
        <f t="shared" si="15"/>
        <v>721401.00401838834</v>
      </c>
      <c r="R53" s="3">
        <f t="shared" si="15"/>
        <v>680422.13404147897</v>
      </c>
      <c r="S53" s="3">
        <f t="shared" si="15"/>
        <v>641771.05093377351</v>
      </c>
      <c r="T53" s="3">
        <f t="shared" si="15"/>
        <v>605315.52577555075</v>
      </c>
      <c r="U53" s="3">
        <f t="shared" si="15"/>
        <v>570930.84085330949</v>
      </c>
      <c r="V53" s="3">
        <f t="shared" si="15"/>
        <v>538499.36298896919</v>
      </c>
      <c r="W53" s="3">
        <f t="shared" si="15"/>
        <v>507910.1411059192</v>
      </c>
      <c r="X53" s="3">
        <f t="shared" si="15"/>
        <v>479058.52665515459</v>
      </c>
      <c r="Y53" s="3">
        <f t="shared" si="15"/>
        <v>451845.81560293806</v>
      </c>
    </row>
    <row r="54" spans="1:25" x14ac:dyDescent="0.25">
      <c r="A54" s="33" t="s">
        <v>172</v>
      </c>
      <c r="B54" s="18"/>
      <c r="C54" s="33"/>
      <c r="D54" s="18"/>
      <c r="E54" s="3">
        <f>+E53</f>
        <v>0</v>
      </c>
      <c r="F54" s="3">
        <f>+E54+F53</f>
        <v>1372644.7368063575</v>
      </c>
      <c r="G54" s="3">
        <f t="shared" ref="G54:Y54" si="16">+F54+G53</f>
        <v>2667316.9869087143</v>
      </c>
      <c r="H54" s="3">
        <f t="shared" si="16"/>
        <v>3888445.9434695709</v>
      </c>
      <c r="I54" s="3">
        <f t="shared" si="16"/>
        <v>5040209.2012620475</v>
      </c>
      <c r="J54" s="3">
        <f t="shared" si="16"/>
        <v>6126547.0486068614</v>
      </c>
      <c r="K54" s="3">
        <f t="shared" si="16"/>
        <v>7151175.9474620447</v>
      </c>
      <c r="L54" s="3">
        <f t="shared" si="16"/>
        <v>8117601.2477820367</v>
      </c>
      <c r="M54" s="3">
        <f t="shared" si="16"/>
        <v>9029129.1796431411</v>
      </c>
      <c r="N54" s="3">
        <f t="shared" si="16"/>
        <v>9888878.1641615201</v>
      </c>
      <c r="O54" s="3">
        <f t="shared" si="16"/>
        <v>10699789.481899412</v>
      </c>
      <c r="P54" s="3">
        <f t="shared" si="16"/>
        <v>11464637.335257184</v>
      </c>
      <c r="Q54" s="3">
        <f t="shared" si="16"/>
        <v>12186038.339275572</v>
      </c>
      <c r="R54" s="3">
        <f t="shared" si="16"/>
        <v>12866460.473317051</v>
      </c>
      <c r="S54" s="3">
        <f t="shared" si="16"/>
        <v>13508231.524250824</v>
      </c>
      <c r="T54" s="3">
        <f t="shared" si="16"/>
        <v>14113547.050026374</v>
      </c>
      <c r="U54" s="3">
        <f t="shared" si="16"/>
        <v>14684477.890879683</v>
      </c>
      <c r="V54" s="3">
        <f t="shared" si="16"/>
        <v>15222977.253868653</v>
      </c>
      <c r="W54" s="3">
        <f t="shared" si="16"/>
        <v>15730887.394974573</v>
      </c>
      <c r="X54" s="3">
        <f t="shared" si="16"/>
        <v>16209945.921629727</v>
      </c>
      <c r="Y54" s="3">
        <f t="shared" si="16"/>
        <v>16661791.737232665</v>
      </c>
    </row>
    <row r="55" spans="1:25" x14ac:dyDescent="0.25">
      <c r="A55" s="33" t="s">
        <v>175</v>
      </c>
      <c r="B55" s="18"/>
      <c r="C55" s="33"/>
      <c r="D55" s="18"/>
      <c r="E55" s="3">
        <f>-E32</f>
        <v>3235000</v>
      </c>
      <c r="F55" s="3">
        <f>-F34</f>
        <v>1005087.0717262329</v>
      </c>
      <c r="G55" s="3">
        <f t="shared" ref="G55:Y55" si="17">-G34</f>
        <v>1005847.5389202068</v>
      </c>
      <c r="H55" s="3">
        <f t="shared" si="17"/>
        <v>1006699.2621774576</v>
      </c>
      <c r="I55" s="3">
        <f t="shared" si="17"/>
        <v>1007653.1922255785</v>
      </c>
      <c r="J55" s="3">
        <f t="shared" si="17"/>
        <v>1008721.5938794739</v>
      </c>
      <c r="K55" s="3">
        <f t="shared" si="17"/>
        <v>1009918.2037318368</v>
      </c>
      <c r="L55" s="3">
        <f t="shared" si="17"/>
        <v>1011258.4067664831</v>
      </c>
      <c r="M55" s="3">
        <f t="shared" si="17"/>
        <v>1012759.4341652871</v>
      </c>
      <c r="N55" s="3">
        <f t="shared" si="17"/>
        <v>1014440.5848519474</v>
      </c>
      <c r="O55" s="3">
        <f t="shared" si="17"/>
        <v>1016323.4736210071</v>
      </c>
      <c r="P55" s="3">
        <f t="shared" si="17"/>
        <v>1018432.3090423539</v>
      </c>
      <c r="Q55" s="3">
        <f t="shared" si="17"/>
        <v>1020794.2047142624</v>
      </c>
      <c r="R55" s="3">
        <f t="shared" si="17"/>
        <v>1023439.5278667999</v>
      </c>
      <c r="S55" s="3">
        <f t="shared" si="17"/>
        <v>1026402.2897976418</v>
      </c>
      <c r="T55" s="3">
        <f t="shared" si="17"/>
        <v>1029720.5831601848</v>
      </c>
      <c r="U55" s="3">
        <f t="shared" si="17"/>
        <v>802188.89428323728</v>
      </c>
      <c r="V55" s="3">
        <f t="shared" si="17"/>
        <v>802188.89428323728</v>
      </c>
      <c r="W55" s="3">
        <f t="shared" si="17"/>
        <v>802188.89428323728</v>
      </c>
      <c r="X55" s="3">
        <f t="shared" si="17"/>
        <v>802188.89428323728</v>
      </c>
      <c r="Y55" s="3">
        <f t="shared" si="17"/>
        <v>802188.89428323728</v>
      </c>
    </row>
    <row r="56" spans="1:25" x14ac:dyDescent="0.25">
      <c r="A56" s="33" t="s">
        <v>173</v>
      </c>
      <c r="B56" s="18"/>
      <c r="C56" s="33"/>
      <c r="D56" s="18"/>
      <c r="E56" s="3">
        <f>IF(E9&lt;&gt;"",E55*(1+$E$43)^-'FinInd+CO2'!E9,"")</f>
        <v>3235000</v>
      </c>
      <c r="F56" s="3">
        <f>IF(F9&lt;&gt;"",F55*(1+$E$43)^-F9,"")</f>
        <v>947993.53817371791</v>
      </c>
      <c r="G56" s="3">
        <f>IF(G9&lt;&gt;"",G55*(1+$E$43)^-G9,"")</f>
        <v>894819.70296165068</v>
      </c>
      <c r="H56" s="3">
        <f t="shared" ref="H56:Y56" si="18">IF(H9&lt;&gt;"",H55*(1+$E$43)^-H9,"")</f>
        <v>844704.52603816183</v>
      </c>
      <c r="I56" s="3">
        <f t="shared" si="18"/>
        <v>797476.41203893686</v>
      </c>
      <c r="J56" s="3">
        <f t="shared" si="18"/>
        <v>752973.63423612365</v>
      </c>
      <c r="K56" s="3">
        <f t="shared" si="18"/>
        <v>711043.78078991256</v>
      </c>
      <c r="L56" s="3">
        <f t="shared" si="18"/>
        <v>671543.23284091498</v>
      </c>
      <c r="M56" s="3">
        <f t="shared" si="18"/>
        <v>634336.67265636311</v>
      </c>
      <c r="N56" s="3">
        <f t="shared" si="18"/>
        <v>599296.6201458876</v>
      </c>
      <c r="O56" s="3">
        <f t="shared" si="18"/>
        <v>566302.99615959614</v>
      </c>
      <c r="P56" s="3">
        <f t="shared" si="18"/>
        <v>535242.71107270895</v>
      </c>
      <c r="Q56" s="3">
        <f t="shared" si="18"/>
        <v>506009.27724741481</v>
      </c>
      <c r="R56" s="3">
        <f t="shared" si="18"/>
        <v>478502.44404419378</v>
      </c>
      <c r="S56" s="3">
        <f t="shared" si="18"/>
        <v>452627.85413188575</v>
      </c>
      <c r="T56" s="3">
        <f t="shared" si="18"/>
        <v>428296.71991853561</v>
      </c>
      <c r="U56" s="3">
        <f t="shared" si="18"/>
        <v>314705.03400129895</v>
      </c>
      <c r="V56" s="3">
        <f t="shared" si="18"/>
        <v>296828.35154926107</v>
      </c>
      <c r="W56" s="3">
        <f t="shared" si="18"/>
        <v>279967.14626143553</v>
      </c>
      <c r="X56" s="3">
        <f t="shared" si="18"/>
        <v>264063.73439958948</v>
      </c>
      <c r="Y56" s="3">
        <f t="shared" si="18"/>
        <v>249063.70892512804</v>
      </c>
    </row>
    <row r="57" spans="1:25" x14ac:dyDescent="0.25">
      <c r="A57" s="33" t="s">
        <v>174</v>
      </c>
      <c r="B57" s="18"/>
      <c r="C57" s="33"/>
      <c r="D57" s="18"/>
      <c r="E57" s="3">
        <f>+E56</f>
        <v>3235000</v>
      </c>
      <c r="F57" s="3">
        <f>+E57+F56</f>
        <v>4182993.5381737179</v>
      </c>
      <c r="G57" s="3">
        <f t="shared" ref="G57:Y57" si="19">+F57+G56</f>
        <v>5077813.2411353681</v>
      </c>
      <c r="H57" s="3">
        <f t="shared" si="19"/>
        <v>5922517.7671735296</v>
      </c>
      <c r="I57" s="3">
        <f t="shared" si="19"/>
        <v>6719994.1792124668</v>
      </c>
      <c r="J57" s="3">
        <f t="shared" si="19"/>
        <v>7472967.8134485902</v>
      </c>
      <c r="K57" s="3">
        <f t="shared" si="19"/>
        <v>8184011.5942385029</v>
      </c>
      <c r="L57" s="3">
        <f t="shared" si="19"/>
        <v>8855554.8270794172</v>
      </c>
      <c r="M57" s="3">
        <f t="shared" si="19"/>
        <v>9489891.4997357801</v>
      </c>
      <c r="N57" s="3">
        <f t="shared" si="19"/>
        <v>10089188.119881667</v>
      </c>
      <c r="O57" s="3">
        <f t="shared" si="19"/>
        <v>10655491.116041264</v>
      </c>
      <c r="P57" s="3">
        <f t="shared" si="19"/>
        <v>11190733.827113973</v>
      </c>
      <c r="Q57" s="3">
        <f t="shared" si="19"/>
        <v>11696743.104361387</v>
      </c>
      <c r="R57" s="3">
        <f t="shared" si="19"/>
        <v>12175245.54840558</v>
      </c>
      <c r="S57" s="3">
        <f t="shared" si="19"/>
        <v>12627873.402537465</v>
      </c>
      <c r="T57" s="3">
        <f t="shared" si="19"/>
        <v>13056170.122456001</v>
      </c>
      <c r="U57" s="3">
        <f t="shared" si="19"/>
        <v>13370875.156457299</v>
      </c>
      <c r="V57" s="3">
        <f t="shared" si="19"/>
        <v>13667703.50800656</v>
      </c>
      <c r="W57" s="3">
        <f t="shared" si="19"/>
        <v>13947670.654267995</v>
      </c>
      <c r="X57" s="3">
        <f t="shared" si="19"/>
        <v>14211734.388667583</v>
      </c>
      <c r="Y57" s="3">
        <f t="shared" si="19"/>
        <v>14460798.097592711</v>
      </c>
    </row>
    <row r="58" spans="1:25" x14ac:dyDescent="0.25">
      <c r="A58" s="73" t="s">
        <v>170</v>
      </c>
      <c r="B58" s="73"/>
      <c r="C58" s="73"/>
      <c r="D58" s="73"/>
      <c r="E58" s="3">
        <f>+E54-E57</f>
        <v>-3235000</v>
      </c>
      <c r="F58" s="3">
        <f t="shared" ref="F58:Y58" si="20">+F54-F57</f>
        <v>-2810348.8013673602</v>
      </c>
      <c r="G58" s="3">
        <f t="shared" si="20"/>
        <v>-2410496.2542266538</v>
      </c>
      <c r="H58" s="3">
        <f t="shared" si="20"/>
        <v>-2034071.8237039587</v>
      </c>
      <c r="I58" s="3">
        <f t="shared" si="20"/>
        <v>-1679784.9779504193</v>
      </c>
      <c r="J58" s="3">
        <f t="shared" si="20"/>
        <v>-1346420.7648417288</v>
      </c>
      <c r="K58" s="3">
        <f t="shared" si="20"/>
        <v>-1032835.6467764582</v>
      </c>
      <c r="L58" s="3">
        <f t="shared" si="20"/>
        <v>-737953.57929738052</v>
      </c>
      <c r="M58" s="3">
        <f t="shared" si="20"/>
        <v>-460762.32009263895</v>
      </c>
      <c r="N58" s="3">
        <f t="shared" si="20"/>
        <v>-200309.95572014712</v>
      </c>
      <c r="O58" s="3">
        <f t="shared" si="20"/>
        <v>44298.365858148783</v>
      </c>
      <c r="P58" s="3">
        <f t="shared" si="20"/>
        <v>273903.50814321078</v>
      </c>
      <c r="Q58" s="3">
        <f t="shared" si="20"/>
        <v>489295.23491418548</v>
      </c>
      <c r="R58" s="3">
        <f t="shared" si="20"/>
        <v>691214.92491147108</v>
      </c>
      <c r="S58" s="3">
        <f t="shared" si="20"/>
        <v>880358.12171335891</v>
      </c>
      <c r="T58" s="3">
        <f t="shared" si="20"/>
        <v>1057376.9275703728</v>
      </c>
      <c r="U58" s="3">
        <f t="shared" si="20"/>
        <v>1313602.7344223838</v>
      </c>
      <c r="V58" s="3">
        <f t="shared" si="20"/>
        <v>1555273.7458620928</v>
      </c>
      <c r="W58" s="3">
        <f t="shared" si="20"/>
        <v>1783216.7407065779</v>
      </c>
      <c r="X58" s="3">
        <f t="shared" si="20"/>
        <v>1998211.5329621434</v>
      </c>
      <c r="Y58" s="3">
        <f t="shared" si="20"/>
        <v>2200993.6396399532</v>
      </c>
    </row>
    <row r="59" spans="1:25" x14ac:dyDescent="0.25">
      <c r="A59" s="47" t="s">
        <v>176</v>
      </c>
      <c r="B59" s="42"/>
      <c r="C59" s="41"/>
      <c r="D59" s="42"/>
      <c r="E59" s="44"/>
      <c r="F59" s="48">
        <f>(-F32-F20)/HEAT</f>
        <v>61.045973893474446</v>
      </c>
    </row>
    <row r="60" spans="1:25" x14ac:dyDescent="0.25">
      <c r="A60" s="33"/>
      <c r="B60" s="18"/>
      <c r="C60" s="33"/>
      <c r="D60" s="18"/>
    </row>
    <row r="62" spans="1:25" x14ac:dyDescent="0.25">
      <c r="A62" s="73" t="s">
        <v>116</v>
      </c>
      <c r="B62" s="73"/>
      <c r="C62" s="73"/>
      <c r="D62" s="73"/>
      <c r="E62" s="3">
        <f>+E57</f>
        <v>3235000</v>
      </c>
      <c r="F62" s="3">
        <f t="shared" ref="F62:Y62" si="21">+F57</f>
        <v>4182993.5381737179</v>
      </c>
      <c r="G62" s="3">
        <f t="shared" si="21"/>
        <v>5077813.2411353681</v>
      </c>
      <c r="H62" s="3">
        <f t="shared" si="21"/>
        <v>5922517.7671735296</v>
      </c>
      <c r="I62" s="3">
        <f t="shared" si="21"/>
        <v>6719994.1792124668</v>
      </c>
      <c r="J62" s="3">
        <f t="shared" si="21"/>
        <v>7472967.8134485902</v>
      </c>
      <c r="K62" s="3">
        <f t="shared" si="21"/>
        <v>8184011.5942385029</v>
      </c>
      <c r="L62" s="3">
        <f t="shared" si="21"/>
        <v>8855554.8270794172</v>
      </c>
      <c r="M62" s="3">
        <f t="shared" si="21"/>
        <v>9489891.4997357801</v>
      </c>
      <c r="N62" s="3">
        <f t="shared" si="21"/>
        <v>10089188.119881667</v>
      </c>
      <c r="O62" s="3">
        <f t="shared" si="21"/>
        <v>10655491.116041264</v>
      </c>
      <c r="P62" s="3">
        <f t="shared" si="21"/>
        <v>11190733.827113973</v>
      </c>
      <c r="Q62" s="3">
        <f t="shared" si="21"/>
        <v>11696743.104361387</v>
      </c>
      <c r="R62" s="3">
        <f t="shared" si="21"/>
        <v>12175245.54840558</v>
      </c>
      <c r="S62" s="3">
        <f t="shared" si="21"/>
        <v>12627873.402537465</v>
      </c>
      <c r="T62" s="3">
        <f t="shared" si="21"/>
        <v>13056170.122456001</v>
      </c>
      <c r="U62" s="3">
        <f t="shared" si="21"/>
        <v>13370875.156457299</v>
      </c>
      <c r="V62" s="3">
        <f t="shared" si="21"/>
        <v>13667703.50800656</v>
      </c>
      <c r="W62" s="3">
        <f t="shared" si="21"/>
        <v>13947670.654267995</v>
      </c>
      <c r="X62" s="3">
        <f t="shared" si="21"/>
        <v>14211734.388667583</v>
      </c>
      <c r="Y62" s="3">
        <f t="shared" si="21"/>
        <v>14460798.097592711</v>
      </c>
    </row>
    <row r="63" spans="1:25" x14ac:dyDescent="0.25">
      <c r="A63" s="73" t="s">
        <v>117</v>
      </c>
      <c r="B63" s="73"/>
      <c r="C63" s="73"/>
      <c r="D63" s="73"/>
      <c r="E63" s="3">
        <f>+E54</f>
        <v>0</v>
      </c>
      <c r="F63" s="3">
        <f t="shared" ref="F63:Y63" si="22">+F54</f>
        <v>1372644.7368063575</v>
      </c>
      <c r="G63" s="3">
        <f t="shared" si="22"/>
        <v>2667316.9869087143</v>
      </c>
      <c r="H63" s="3">
        <f t="shared" si="22"/>
        <v>3888445.9434695709</v>
      </c>
      <c r="I63" s="3">
        <f t="shared" si="22"/>
        <v>5040209.2012620475</v>
      </c>
      <c r="J63" s="3">
        <f t="shared" si="22"/>
        <v>6126547.0486068614</v>
      </c>
      <c r="K63" s="3">
        <f t="shared" si="22"/>
        <v>7151175.9474620447</v>
      </c>
      <c r="L63" s="3">
        <f t="shared" si="22"/>
        <v>8117601.2477820367</v>
      </c>
      <c r="M63" s="3">
        <f t="shared" si="22"/>
        <v>9029129.1796431411</v>
      </c>
      <c r="N63" s="3">
        <f t="shared" si="22"/>
        <v>9888878.1641615201</v>
      </c>
      <c r="O63" s="3">
        <f t="shared" si="22"/>
        <v>10699789.481899412</v>
      </c>
      <c r="P63" s="3">
        <f t="shared" si="22"/>
        <v>11464637.335257184</v>
      </c>
      <c r="Q63" s="3">
        <f t="shared" si="22"/>
        <v>12186038.339275572</v>
      </c>
      <c r="R63" s="3">
        <f t="shared" si="22"/>
        <v>12866460.473317051</v>
      </c>
      <c r="S63" s="3">
        <f t="shared" si="22"/>
        <v>13508231.524250824</v>
      </c>
      <c r="T63" s="3">
        <f t="shared" si="22"/>
        <v>14113547.050026374</v>
      </c>
      <c r="U63" s="3">
        <f t="shared" si="22"/>
        <v>14684477.890879683</v>
      </c>
      <c r="V63" s="3">
        <f t="shared" si="22"/>
        <v>15222977.253868653</v>
      </c>
      <c r="W63" s="3">
        <f t="shared" si="22"/>
        <v>15730887.394974573</v>
      </c>
      <c r="X63" s="3">
        <f t="shared" si="22"/>
        <v>16209945.921629727</v>
      </c>
      <c r="Y63" s="3">
        <f t="shared" si="22"/>
        <v>16661791.737232665</v>
      </c>
    </row>
    <row r="66" spans="9:9" x14ac:dyDescent="0.25">
      <c r="I66" s="3"/>
    </row>
    <row r="67" spans="9:9" x14ac:dyDescent="0.25">
      <c r="I67" s="3"/>
    </row>
  </sheetData>
  <sheetProtection selectLockedCells="1"/>
  <mergeCells count="32">
    <mergeCell ref="H4:K4"/>
    <mergeCell ref="I7:J7"/>
    <mergeCell ref="N7:O7"/>
    <mergeCell ref="A14:D14"/>
    <mergeCell ref="A9:D9"/>
    <mergeCell ref="A11:D11"/>
    <mergeCell ref="A12:D12"/>
    <mergeCell ref="A13:D13"/>
    <mergeCell ref="A7:E7"/>
    <mergeCell ref="A20:D20"/>
    <mergeCell ref="A62:D62"/>
    <mergeCell ref="A38:D38"/>
    <mergeCell ref="A39:D39"/>
    <mergeCell ref="A37:D37"/>
    <mergeCell ref="A58:D58"/>
    <mergeCell ref="A30:D30"/>
    <mergeCell ref="A63:D63"/>
    <mergeCell ref="A18:D18"/>
    <mergeCell ref="A15:D15"/>
    <mergeCell ref="A16:D16"/>
    <mergeCell ref="A28:D28"/>
    <mergeCell ref="A19:D19"/>
    <mergeCell ref="A21:D21"/>
    <mergeCell ref="A23:D23"/>
    <mergeCell ref="A24:D24"/>
    <mergeCell ref="A26:D26"/>
    <mergeCell ref="A27:D27"/>
    <mergeCell ref="A29:D29"/>
    <mergeCell ref="A31:D31"/>
    <mergeCell ref="A32:D32"/>
    <mergeCell ref="A35:D35"/>
    <mergeCell ref="A36:D36"/>
  </mergeCells>
  <dataValidations count="1">
    <dataValidation allowBlank="1" showInputMessage="1" showErrorMessage="1" promptTitle="CashFlow" prompt="Ne obuhvata amortizaciju, ali obuhvata otplatu glavnice." sqref="A40"/>
  </dataValidations>
  <hyperlinks>
    <hyperlink ref="I7:J7" location="FinaIndicators!I1" display="NAZAD"/>
    <hyperlink ref="N7:O7" location="GraphFina!A1" display="DALJE"/>
  </hyperlinks>
  <pageMargins left="0.7" right="0.7" top="0.75" bottom="0.75" header="0.3" footer="0.3"/>
  <pageSetup paperSize="9" orientation="portrait" r:id="rId1"/>
  <ignoredErrors>
    <ignoredError sqref="E13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J12"/>
  <sheetViews>
    <sheetView workbookViewId="0"/>
  </sheetViews>
  <sheetFormatPr defaultRowHeight="15" x14ac:dyDescent="0.25"/>
  <sheetData>
    <row r="3" spans="1:10" ht="16.5" x14ac:dyDescent="0.35">
      <c r="G3" s="62" t="s">
        <v>190</v>
      </c>
      <c r="H3" s="62"/>
      <c r="I3" s="62"/>
      <c r="J3" s="62"/>
    </row>
    <row r="7" spans="1:10" ht="15" customHeight="1" x14ac:dyDescent="0.25">
      <c r="A7" s="64" t="s">
        <v>131</v>
      </c>
      <c r="B7" s="64"/>
      <c r="C7" s="64"/>
      <c r="D7" s="64"/>
    </row>
    <row r="8" spans="1:10" ht="15" customHeight="1" x14ac:dyDescent="0.25">
      <c r="A8" s="64"/>
      <c r="B8" s="64"/>
      <c r="C8" s="64"/>
      <c r="D8" s="64"/>
    </row>
    <row r="9" spans="1:10" x14ac:dyDescent="0.25">
      <c r="A9" s="64"/>
      <c r="B9" s="64"/>
      <c r="C9" s="64"/>
      <c r="D9" s="64"/>
    </row>
    <row r="11" spans="1:10" x14ac:dyDescent="0.25">
      <c r="A11" s="66" t="s">
        <v>129</v>
      </c>
      <c r="B11" s="66"/>
      <c r="C11" s="68" t="s">
        <v>130</v>
      </c>
      <c r="D11" s="68"/>
    </row>
    <row r="12" spans="1:10" x14ac:dyDescent="0.25">
      <c r="A12" s="66"/>
      <c r="B12" s="66"/>
      <c r="C12" s="68"/>
      <c r="D12" s="68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EconIndicators!I1" display="NAZAD"/>
    <hyperlink ref="C11:D12" location="GraphEc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22</vt:i4>
      </vt:variant>
    </vt:vector>
  </HeadingPairs>
  <TitlesOfParts>
    <vt:vector size="38" baseType="lpstr">
      <vt:lpstr>Pocetna</vt:lpstr>
      <vt:lpstr>KonvFaktor</vt:lpstr>
      <vt:lpstr>PomTab1</vt:lpstr>
      <vt:lpstr>UnosPodataka</vt:lpstr>
      <vt:lpstr>EnergyCosts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CARBON</vt:lpstr>
      <vt:lpstr>CERT</vt:lpstr>
      <vt:lpstr>CO2Tax</vt:lpstr>
      <vt:lpstr>ECONS</vt:lpstr>
      <vt:lpstr>EPOW</vt:lpstr>
      <vt:lpstr>EPrice</vt:lpstr>
      <vt:lpstr>Equity</vt:lpstr>
      <vt:lpstr>eta</vt:lpstr>
      <vt:lpstr>etagrid</vt:lpstr>
      <vt:lpstr>FDS</vt:lpstr>
      <vt:lpstr>FIRR</vt:lpstr>
      <vt:lpstr>FNPV</vt:lpstr>
      <vt:lpstr>HEAT</vt:lpstr>
      <vt:lpstr>HPCAP</vt:lpstr>
      <vt:lpstr>HPrice</vt:lpstr>
      <vt:lpstr>Investment</vt:lpstr>
      <vt:lpstr>LCoE</vt:lpstr>
      <vt:lpstr>Loan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2023-07-21T07:39:21Z</dcterms:modified>
</cp:coreProperties>
</file>