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3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4.xml" ContentType="application/vnd.openxmlformats-officedocument.drawingml.chart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hidePivotFieldList="1"/>
  <bookViews>
    <workbookView xWindow="-120" yWindow="-120" windowWidth="29040" windowHeight="15840" firstSheet="4" activeTab="14"/>
  </bookViews>
  <sheets>
    <sheet name="Pocetna" sheetId="1" r:id="rId1"/>
    <sheet name="KonvFaktor" sheetId="17" r:id="rId2"/>
    <sheet name="PomTab1" sheetId="4" r:id="rId3"/>
    <sheet name="UnosPodataka" sheetId="2" r:id="rId4"/>
    <sheet name="EnergyCosts" sheetId="5" r:id="rId5"/>
    <sheet name="Annuity" sheetId="6" r:id="rId6"/>
    <sheet name="FinaIndicators" sheetId="7" r:id="rId7"/>
    <sheet name="FinInd+CO2" sheetId="9" r:id="rId8"/>
    <sheet name="GraphFina" sheetId="10" r:id="rId9"/>
    <sheet name="Graf+CO2" sheetId="11" r:id="rId10"/>
    <sheet name="LCoEE" sheetId="12" r:id="rId11"/>
    <sheet name="Osetljivost" sheetId="13" r:id="rId12"/>
    <sheet name="AkoESCO" sheetId="14" r:id="rId13"/>
    <sheet name="ESCOGrafFina" sheetId="15" r:id="rId14"/>
    <sheet name="REZIME" sheetId="16" r:id="rId15"/>
    <sheet name="Gorivo" sheetId="18" state="hidden" r:id="rId16"/>
  </sheets>
  <externalReferences>
    <externalReference r:id="rId17"/>
    <externalReference r:id="rId18"/>
  </externalReferences>
  <definedNames>
    <definedName name="CARBON">EnergyCosts!$J$23</definedName>
    <definedName name="CERT">EnergyCosts!$L$22</definedName>
    <definedName name="CO2Tax">UnosPodataka!$M$13</definedName>
    <definedName name="ECONS">EnergyCosts!$J$17</definedName>
    <definedName name="EPOW" comment="Elektromotorni pogoni">EnergyCosts!$J$15</definedName>
    <definedName name="EPrice">EnergyCosts!$J$10</definedName>
    <definedName name="Equity">UnosPodataka!$F$30</definedName>
    <definedName name="eta">EnergyCosts!$J$12</definedName>
    <definedName name="etagrid">EnergyCosts!$J$13</definedName>
    <definedName name="FDS">[1]PomTab1!$L$23</definedName>
    <definedName name="FIRR">FinaIndicators!#REF!</definedName>
    <definedName name="FNPV">FinaIndicators!#REF!</definedName>
    <definedName name="HEAT">EnergyCosts!$J$9</definedName>
    <definedName name="HPCAP">EnergyCosts!$J$14</definedName>
    <definedName name="HPrice">EnergyCosts!$J$11</definedName>
    <definedName name="InfRate" comment="Inflacija">0</definedName>
    <definedName name="Investment">UnosPodataka!$F$23</definedName>
    <definedName name="Kurs_EUR" comment="Obračunski kurs EUR na dan 11-4-2023">117.288</definedName>
    <definedName name="LCoEE">LCoEE!$E$19</definedName>
    <definedName name="Loan">UnosPodataka!$F$33</definedName>
    <definedName name="PDV" comment="Porez na dodatu vrednost (opšti)">0.2</definedName>
    <definedName name="PROJEKAT">Pocetna!$M$12</definedName>
    <definedName name="VAT" comment="Porez na poslovanje kompanije">0.15</definedName>
    <definedName name="WCONS">EnergyCosts!$J$18</definedName>
    <definedName name="WHOUR">EnergyCosts!$J$16</definedName>
    <definedName name="WPRICE">EnergyCosts!$J$19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7" l="1"/>
  <c r="D16" i="17"/>
  <c r="D15" i="17"/>
  <c r="D14" i="17"/>
  <c r="D13" i="17"/>
  <c r="D12" i="17"/>
  <c r="E14" i="17" l="1"/>
  <c r="E13" i="17"/>
  <c r="E12" i="17"/>
  <c r="C18" i="17"/>
  <c r="E17" i="17"/>
  <c r="E16" i="17"/>
  <c r="E15" i="17"/>
  <c r="E18" i="17" l="1"/>
  <c r="E21" i="17" s="1"/>
  <c r="F23" i="2"/>
  <c r="E12" i="9"/>
  <c r="L24" i="4"/>
  <c r="L23" i="4"/>
  <c r="K24" i="4"/>
  <c r="K22" i="4"/>
  <c r="E13" i="7" s="1"/>
  <c r="Q39" i="4" l="1"/>
  <c r="M27" i="2" s="1"/>
  <c r="G12" i="2"/>
  <c r="F31" i="2"/>
  <c r="E13" i="9"/>
  <c r="G15" i="2"/>
  <c r="G30" i="2"/>
  <c r="G19" i="2"/>
  <c r="G11" i="2"/>
  <c r="G25" i="2"/>
  <c r="G18" i="2"/>
  <c r="G14" i="2"/>
  <c r="G10" i="2"/>
  <c r="F28" i="7"/>
  <c r="F30" i="9"/>
  <c r="G13" i="2"/>
  <c r="G23" i="2"/>
  <c r="G17" i="2"/>
  <c r="G9" i="2"/>
  <c r="G20" i="2"/>
  <c r="G16" i="2"/>
  <c r="E12" i="16" l="1"/>
  <c r="E9" i="16"/>
  <c r="F10" i="14"/>
  <c r="G10" i="14" l="1"/>
  <c r="H10" i="14" l="1"/>
  <c r="I10" i="14" l="1"/>
  <c r="J10" i="14" l="1"/>
  <c r="F10" i="12"/>
  <c r="G9" i="9"/>
  <c r="G27" i="9" l="1"/>
  <c r="G30" i="9"/>
  <c r="K10" i="14"/>
  <c r="G10" i="12"/>
  <c r="H9" i="9"/>
  <c r="F12" i="12"/>
  <c r="E10" i="16"/>
  <c r="F27" i="9"/>
  <c r="F25" i="7"/>
  <c r="G9" i="7"/>
  <c r="H30" i="9" l="1"/>
  <c r="H9" i="7"/>
  <c r="I9" i="7" s="1"/>
  <c r="G25" i="7"/>
  <c r="G28" i="7"/>
  <c r="L10" i="14"/>
  <c r="H10" i="12"/>
  <c r="I9" i="9"/>
  <c r="H27" i="9"/>
  <c r="F29" i="9"/>
  <c r="F27" i="7"/>
  <c r="I30" i="9" l="1"/>
  <c r="H28" i="7"/>
  <c r="H25" i="7"/>
  <c r="I28" i="7"/>
  <c r="J9" i="9"/>
  <c r="I27" i="9"/>
  <c r="J9" i="7"/>
  <c r="I25" i="7"/>
  <c r="I10" i="12"/>
  <c r="M10" i="14"/>
  <c r="J17" i="5"/>
  <c r="J30" i="9" l="1"/>
  <c r="J28" i="7"/>
  <c r="K9" i="7"/>
  <c r="J25" i="7"/>
  <c r="N10" i="14"/>
  <c r="J10" i="12"/>
  <c r="K9" i="9"/>
  <c r="J27" i="9"/>
  <c r="I28" i="9"/>
  <c r="I26" i="7"/>
  <c r="F26" i="7"/>
  <c r="J28" i="9"/>
  <c r="F28" i="9"/>
  <c r="J26" i="7"/>
  <c r="G28" i="9"/>
  <c r="G26" i="7"/>
  <c r="H28" i="9"/>
  <c r="H26" i="7"/>
  <c r="F15" i="9"/>
  <c r="G15" i="7"/>
  <c r="K15" i="7"/>
  <c r="O15" i="7"/>
  <c r="S15" i="7"/>
  <c r="W15" i="7"/>
  <c r="H15" i="7"/>
  <c r="L15" i="7"/>
  <c r="P15" i="7"/>
  <c r="T15" i="7"/>
  <c r="X15" i="7"/>
  <c r="V15" i="7"/>
  <c r="I15" i="7"/>
  <c r="M15" i="7"/>
  <c r="Q15" i="7"/>
  <c r="U15" i="7"/>
  <c r="Y15" i="7"/>
  <c r="J15" i="7"/>
  <c r="N15" i="7"/>
  <c r="R15" i="7"/>
  <c r="F15" i="7"/>
  <c r="F14" i="7"/>
  <c r="F14" i="9"/>
  <c r="F16" i="9" s="1"/>
  <c r="K30" i="9" l="1"/>
  <c r="K28" i="9"/>
  <c r="F19" i="9"/>
  <c r="F20" i="9"/>
  <c r="K28" i="7"/>
  <c r="K26" i="7"/>
  <c r="F18" i="7"/>
  <c r="F16" i="12"/>
  <c r="L9" i="9"/>
  <c r="K27" i="9"/>
  <c r="O10" i="14"/>
  <c r="K10" i="12"/>
  <c r="L9" i="7"/>
  <c r="K25" i="7"/>
  <c r="L30" i="9" l="1"/>
  <c r="F17" i="12"/>
  <c r="L28" i="7"/>
  <c r="M9" i="9"/>
  <c r="L27" i="9"/>
  <c r="L28" i="9"/>
  <c r="L10" i="12"/>
  <c r="M9" i="7"/>
  <c r="L25" i="7"/>
  <c r="L26" i="7"/>
  <c r="P10" i="14"/>
  <c r="F26" i="9"/>
  <c r="M30" i="9" l="1"/>
  <c r="M28" i="7"/>
  <c r="M10" i="12"/>
  <c r="N9" i="7"/>
  <c r="M25" i="7"/>
  <c r="M26" i="7"/>
  <c r="Q10" i="14"/>
  <c r="N9" i="9"/>
  <c r="M27" i="9"/>
  <c r="M28" i="9"/>
  <c r="G29" i="9"/>
  <c r="G15" i="9"/>
  <c r="G14" i="9"/>
  <c r="G26" i="9"/>
  <c r="G16" i="9" l="1"/>
  <c r="G20" i="9" s="1"/>
  <c r="N30" i="9"/>
  <c r="G19" i="9"/>
  <c r="N28" i="7"/>
  <c r="O9" i="7"/>
  <c r="N25" i="7"/>
  <c r="N26" i="7"/>
  <c r="R10" i="14"/>
  <c r="O9" i="9"/>
  <c r="N27" i="9"/>
  <c r="N28" i="9"/>
  <c r="N10" i="12"/>
  <c r="H29" i="9"/>
  <c r="H15" i="9"/>
  <c r="H14" i="9"/>
  <c r="H16" i="9" s="1"/>
  <c r="H26" i="9"/>
  <c r="O30" i="9" l="1"/>
  <c r="H19" i="9"/>
  <c r="H20" i="9"/>
  <c r="O28" i="7"/>
  <c r="S10" i="14"/>
  <c r="P9" i="9"/>
  <c r="O27" i="9"/>
  <c r="O28" i="9"/>
  <c r="O10" i="12"/>
  <c r="P9" i="7"/>
  <c r="O25" i="7"/>
  <c r="O26" i="7"/>
  <c r="I29" i="9"/>
  <c r="I15" i="9"/>
  <c r="I14" i="9"/>
  <c r="I16" i="9" s="1"/>
  <c r="I26" i="9"/>
  <c r="G17" i="12"/>
  <c r="P30" i="9" l="1"/>
  <c r="I19" i="9"/>
  <c r="I20" i="9"/>
  <c r="P28" i="7"/>
  <c r="Q9" i="7"/>
  <c r="P25" i="7"/>
  <c r="P26" i="7"/>
  <c r="Q9" i="9"/>
  <c r="P27" i="9"/>
  <c r="P28" i="9"/>
  <c r="P10" i="12"/>
  <c r="T10" i="14"/>
  <c r="J29" i="9"/>
  <c r="J15" i="9"/>
  <c r="J14" i="9"/>
  <c r="J16" i="9" s="1"/>
  <c r="J26" i="9"/>
  <c r="H17" i="12"/>
  <c r="Q30" i="9" l="1"/>
  <c r="I17" i="12"/>
  <c r="J19" i="9"/>
  <c r="J20" i="9"/>
  <c r="Q28" i="7"/>
  <c r="Q10" i="12"/>
  <c r="R9" i="9"/>
  <c r="Q27" i="9"/>
  <c r="Q28" i="9"/>
  <c r="U10" i="14"/>
  <c r="R9" i="7"/>
  <c r="Q25" i="7"/>
  <c r="Q26" i="7"/>
  <c r="K29" i="9"/>
  <c r="K15" i="9"/>
  <c r="K14" i="9"/>
  <c r="K26" i="9"/>
  <c r="K16" i="9" l="1"/>
  <c r="K20" i="9" s="1"/>
  <c r="R30" i="9"/>
  <c r="K19" i="9"/>
  <c r="R28" i="7"/>
  <c r="S9" i="7"/>
  <c r="R25" i="7"/>
  <c r="R26" i="7"/>
  <c r="S9" i="9"/>
  <c r="R27" i="9"/>
  <c r="R28" i="9"/>
  <c r="V10" i="14"/>
  <c r="R10" i="12"/>
  <c r="L29" i="9"/>
  <c r="L15" i="9"/>
  <c r="L14" i="9"/>
  <c r="L16" i="9" s="1"/>
  <c r="L26" i="9"/>
  <c r="J17" i="12"/>
  <c r="S30" i="9" l="1"/>
  <c r="K17" i="12"/>
  <c r="L19" i="9"/>
  <c r="L20" i="9"/>
  <c r="S28" i="7"/>
  <c r="T9" i="9"/>
  <c r="S27" i="9"/>
  <c r="S28" i="9"/>
  <c r="W10" i="14"/>
  <c r="S10" i="12"/>
  <c r="T9" i="7"/>
  <c r="S25" i="7"/>
  <c r="S26" i="7"/>
  <c r="M29" i="9"/>
  <c r="M15" i="9"/>
  <c r="M14" i="9"/>
  <c r="M16" i="9" s="1"/>
  <c r="M26" i="9"/>
  <c r="N26" i="9"/>
  <c r="M20" i="9" l="1"/>
  <c r="L17" i="12"/>
  <c r="T30" i="9"/>
  <c r="M19" i="9"/>
  <c r="T28" i="7"/>
  <c r="U9" i="7"/>
  <c r="T25" i="7"/>
  <c r="T26" i="7"/>
  <c r="X10" i="14"/>
  <c r="T10" i="12"/>
  <c r="U9" i="9"/>
  <c r="T27" i="9"/>
  <c r="T28" i="9"/>
  <c r="O29" i="9"/>
  <c r="N29" i="9"/>
  <c r="N14" i="9"/>
  <c r="N16" i="9" s="1"/>
  <c r="O15" i="9"/>
  <c r="N15" i="9"/>
  <c r="O14" i="9"/>
  <c r="O26" i="9"/>
  <c r="O16" i="9" l="1"/>
  <c r="O20" i="9" s="1"/>
  <c r="U30" i="9"/>
  <c r="M17" i="12"/>
  <c r="O19" i="9"/>
  <c r="N19" i="9"/>
  <c r="N20" i="9"/>
  <c r="U28" i="7"/>
  <c r="Y10" i="14"/>
  <c r="V9" i="9"/>
  <c r="U27" i="9"/>
  <c r="U24" i="9"/>
  <c r="U25" i="9" s="1"/>
  <c r="U28" i="9"/>
  <c r="U10" i="12"/>
  <c r="V9" i="7"/>
  <c r="U25" i="7"/>
  <c r="U22" i="7"/>
  <c r="U23" i="7" s="1"/>
  <c r="U26" i="7"/>
  <c r="P29" i="9"/>
  <c r="P15" i="9"/>
  <c r="P14" i="9"/>
  <c r="P26" i="9"/>
  <c r="P16" i="9" l="1"/>
  <c r="P20" i="9" s="1"/>
  <c r="V30" i="9"/>
  <c r="N17" i="12"/>
  <c r="P19" i="9"/>
  <c r="V28" i="7"/>
  <c r="V10" i="12"/>
  <c r="W9" i="9"/>
  <c r="V27" i="9"/>
  <c r="V24" i="9"/>
  <c r="V25" i="9" s="1"/>
  <c r="V28" i="9"/>
  <c r="W9" i="7"/>
  <c r="V25" i="7"/>
  <c r="V22" i="7"/>
  <c r="V23" i="7" s="1"/>
  <c r="V26" i="7"/>
  <c r="Q29" i="9"/>
  <c r="Q15" i="9"/>
  <c r="Q14" i="9"/>
  <c r="O17" i="12"/>
  <c r="Q26" i="9"/>
  <c r="Q16" i="9" l="1"/>
  <c r="Q20" i="9" s="1"/>
  <c r="W30" i="9"/>
  <c r="Q19" i="9"/>
  <c r="W28" i="7"/>
  <c r="X9" i="7"/>
  <c r="W25" i="7"/>
  <c r="W22" i="7"/>
  <c r="W23" i="7" s="1"/>
  <c r="W26" i="7"/>
  <c r="X9" i="9"/>
  <c r="W27" i="9"/>
  <c r="W24" i="9"/>
  <c r="W25" i="9" s="1"/>
  <c r="W28" i="9"/>
  <c r="W10" i="12"/>
  <c r="R29" i="9"/>
  <c r="R15" i="9"/>
  <c r="R14" i="9"/>
  <c r="R16" i="9" s="1"/>
  <c r="P17" i="12"/>
  <c r="R26" i="9"/>
  <c r="X30" i="9" l="1"/>
  <c r="R19" i="9"/>
  <c r="R20" i="9"/>
  <c r="X28" i="7"/>
  <c r="X10" i="12"/>
  <c r="Y9" i="9"/>
  <c r="X27" i="9"/>
  <c r="X24" i="9"/>
  <c r="X25" i="9" s="1"/>
  <c r="X28" i="9"/>
  <c r="Y9" i="7"/>
  <c r="X25" i="7"/>
  <c r="X22" i="7"/>
  <c r="X23" i="7" s="1"/>
  <c r="X26" i="7"/>
  <c r="S29" i="9"/>
  <c r="S15" i="9"/>
  <c r="S14" i="9"/>
  <c r="Q17" i="12"/>
  <c r="S26" i="9"/>
  <c r="S16" i="9" l="1"/>
  <c r="S20" i="9" s="1"/>
  <c r="R17" i="12"/>
  <c r="Y30" i="9"/>
  <c r="S19" i="9"/>
  <c r="Y28" i="7"/>
  <c r="Y25" i="7"/>
  <c r="Y22" i="7"/>
  <c r="Y23" i="7" s="1"/>
  <c r="Y26" i="7"/>
  <c r="Y27" i="9"/>
  <c r="Y24" i="9"/>
  <c r="Y25" i="9" s="1"/>
  <c r="Y28" i="9"/>
  <c r="Y10" i="12"/>
  <c r="T29" i="9"/>
  <c r="T15" i="9"/>
  <c r="T14" i="9"/>
  <c r="T16" i="9" s="1"/>
  <c r="T26" i="9"/>
  <c r="S17" i="12" l="1"/>
  <c r="T19" i="9"/>
  <c r="T20" i="9"/>
  <c r="U29" i="9"/>
  <c r="U15" i="9"/>
  <c r="U14" i="9"/>
  <c r="U16" i="9" s="1"/>
  <c r="U26" i="9"/>
  <c r="U19" i="9" l="1"/>
  <c r="U20" i="9"/>
  <c r="V29" i="9"/>
  <c r="V15" i="9"/>
  <c r="V14" i="9"/>
  <c r="T17" i="12"/>
  <c r="V26" i="9"/>
  <c r="V16" i="9" l="1"/>
  <c r="V20" i="9" s="1"/>
  <c r="V19" i="9"/>
  <c r="W29" i="9"/>
  <c r="W15" i="9"/>
  <c r="W14" i="9"/>
  <c r="U17" i="12"/>
  <c r="W26" i="9"/>
  <c r="W16" i="9" l="1"/>
  <c r="W20" i="9" s="1"/>
  <c r="W19" i="9"/>
  <c r="X29" i="9"/>
  <c r="X15" i="9"/>
  <c r="X14" i="9"/>
  <c r="V17" i="12"/>
  <c r="X26" i="9"/>
  <c r="X16" i="9" l="1"/>
  <c r="X20" i="9" s="1"/>
  <c r="X19" i="9"/>
  <c r="Y29" i="9"/>
  <c r="Y15" i="9"/>
  <c r="Y14" i="9"/>
  <c r="W17" i="12"/>
  <c r="Y26" i="9"/>
  <c r="Y19" i="9" l="1"/>
  <c r="Y16" i="9"/>
  <c r="Y20" i="9" s="1"/>
  <c r="X17" i="12"/>
  <c r="F24" i="7"/>
  <c r="B14" i="6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G27" i="7" l="1"/>
  <c r="G14" i="7"/>
  <c r="G16" i="12" s="1"/>
  <c r="Y17" i="12"/>
  <c r="G24" i="7"/>
  <c r="H27" i="7" l="1"/>
  <c r="G18" i="7"/>
  <c r="H14" i="7"/>
  <c r="H16" i="12" s="1"/>
  <c r="H24" i="7"/>
  <c r="I27" i="7" l="1"/>
  <c r="H18" i="7"/>
  <c r="I14" i="7"/>
  <c r="I16" i="12" s="1"/>
  <c r="I24" i="7"/>
  <c r="J27" i="7" l="1"/>
  <c r="I18" i="7"/>
  <c r="J14" i="7"/>
  <c r="J16" i="12" s="1"/>
  <c r="J24" i="7"/>
  <c r="K27" i="7" l="1"/>
  <c r="J18" i="7"/>
  <c r="K14" i="7"/>
  <c r="K16" i="12" s="1"/>
  <c r="K24" i="7"/>
  <c r="L27" i="7" l="1"/>
  <c r="L14" i="7"/>
  <c r="L16" i="12" s="1"/>
  <c r="K18" i="7"/>
  <c r="L24" i="7"/>
  <c r="M27" i="7" l="1"/>
  <c r="L18" i="7"/>
  <c r="M14" i="7"/>
  <c r="M16" i="12" s="1"/>
  <c r="M24" i="7"/>
  <c r="N27" i="7" l="1"/>
  <c r="M18" i="7"/>
  <c r="N14" i="7"/>
  <c r="N16" i="12" s="1"/>
  <c r="N24" i="7"/>
  <c r="O27" i="7" l="1"/>
  <c r="N18" i="7"/>
  <c r="O14" i="7"/>
  <c r="O16" i="12" s="1"/>
  <c r="O24" i="7"/>
  <c r="P27" i="7" l="1"/>
  <c r="O18" i="7"/>
  <c r="P14" i="7"/>
  <c r="P16" i="12" s="1"/>
  <c r="P24" i="7"/>
  <c r="Q27" i="7" l="1"/>
  <c r="P18" i="7"/>
  <c r="Q14" i="7"/>
  <c r="Q16" i="12" s="1"/>
  <c r="Y31" i="9"/>
  <c r="Q24" i="7"/>
  <c r="R27" i="7" l="1"/>
  <c r="Q18" i="7"/>
  <c r="R14" i="7"/>
  <c r="R16" i="12" s="1"/>
  <c r="P29" i="7"/>
  <c r="P12" i="14" s="1"/>
  <c r="P13" i="14" s="1"/>
  <c r="F24" i="2"/>
  <c r="G24" i="2" s="1"/>
  <c r="Y21" i="9"/>
  <c r="X31" i="9"/>
  <c r="X21" i="9"/>
  <c r="T31" i="9"/>
  <c r="T21" i="9"/>
  <c r="W31" i="9"/>
  <c r="W21" i="9"/>
  <c r="S31" i="9"/>
  <c r="S21" i="9"/>
  <c r="U31" i="9"/>
  <c r="U21" i="9"/>
  <c r="V21" i="9"/>
  <c r="V31" i="9"/>
  <c r="R31" i="9"/>
  <c r="R21" i="9"/>
  <c r="F21" i="9"/>
  <c r="J21" i="9"/>
  <c r="Q21" i="9"/>
  <c r="M21" i="9"/>
  <c r="P21" i="9"/>
  <c r="L21" i="9"/>
  <c r="N21" i="9"/>
  <c r="O21" i="9"/>
  <c r="K21" i="9"/>
  <c r="H21" i="9"/>
  <c r="I21" i="9"/>
  <c r="G21" i="9"/>
  <c r="R24" i="7"/>
  <c r="Q31" i="9"/>
  <c r="I31" i="9"/>
  <c r="P31" i="9"/>
  <c r="L31" i="9"/>
  <c r="O31" i="9"/>
  <c r="K31" i="9"/>
  <c r="G31" i="9"/>
  <c r="M31" i="9"/>
  <c r="H31" i="9"/>
  <c r="N31" i="9"/>
  <c r="J31" i="9"/>
  <c r="F31" i="9"/>
  <c r="O29" i="7"/>
  <c r="O12" i="14" s="1"/>
  <c r="O13" i="14" s="1"/>
  <c r="O19" i="7"/>
  <c r="J29" i="7"/>
  <c r="J12" i="14" s="1"/>
  <c r="J13" i="14" s="1"/>
  <c r="J19" i="7"/>
  <c r="K29" i="7"/>
  <c r="K12" i="14" s="1"/>
  <c r="K13" i="14" s="1"/>
  <c r="K19" i="7"/>
  <c r="G29" i="7"/>
  <c r="G12" i="14" s="1"/>
  <c r="G13" i="14" s="1"/>
  <c r="G19" i="7"/>
  <c r="F29" i="7"/>
  <c r="F12" i="14" s="1"/>
  <c r="F19" i="7"/>
  <c r="M29" i="7"/>
  <c r="M12" i="14" s="1"/>
  <c r="M13" i="14" s="1"/>
  <c r="M19" i="7"/>
  <c r="L29" i="7"/>
  <c r="L12" i="14" s="1"/>
  <c r="L13" i="14" s="1"/>
  <c r="L19" i="7"/>
  <c r="N29" i="7"/>
  <c r="N12" i="14" s="1"/>
  <c r="N13" i="14" s="1"/>
  <c r="N19" i="7"/>
  <c r="I29" i="7"/>
  <c r="I12" i="14" s="1"/>
  <c r="I13" i="14" s="1"/>
  <c r="I19" i="7"/>
  <c r="H29" i="7"/>
  <c r="H12" i="14" s="1"/>
  <c r="H13" i="14" s="1"/>
  <c r="H19" i="7"/>
  <c r="G31" i="2"/>
  <c r="C25" i="4"/>
  <c r="M56" i="9" l="1"/>
  <c r="X56" i="9"/>
  <c r="I56" i="9"/>
  <c r="N56" i="9"/>
  <c r="Q56" i="9"/>
  <c r="O56" i="9"/>
  <c r="W56" i="9"/>
  <c r="H56" i="9"/>
  <c r="L56" i="9"/>
  <c r="J56" i="9"/>
  <c r="S56" i="9"/>
  <c r="T56" i="9"/>
  <c r="Y56" i="9"/>
  <c r="G56" i="9"/>
  <c r="R56" i="9"/>
  <c r="U56" i="9"/>
  <c r="K56" i="9"/>
  <c r="P56" i="9"/>
  <c r="F56" i="9"/>
  <c r="V56" i="9"/>
  <c r="I55" i="7"/>
  <c r="L55" i="7"/>
  <c r="F55" i="7"/>
  <c r="K55" i="7"/>
  <c r="O55" i="7"/>
  <c r="H55" i="7"/>
  <c r="N55" i="7"/>
  <c r="M55" i="7"/>
  <c r="G55" i="7"/>
  <c r="J55" i="7"/>
  <c r="F13" i="14"/>
  <c r="S27" i="7"/>
  <c r="R18" i="7"/>
  <c r="S14" i="7"/>
  <c r="S16" i="12" s="1"/>
  <c r="P19" i="7"/>
  <c r="S24" i="7"/>
  <c r="F33" i="2"/>
  <c r="K23" i="4" l="1"/>
  <c r="G33" i="2"/>
  <c r="E11" i="9"/>
  <c r="P55" i="7"/>
  <c r="E13" i="16"/>
  <c r="E11" i="16"/>
  <c r="T27" i="7"/>
  <c r="S18" i="7"/>
  <c r="T14" i="7"/>
  <c r="T16" i="12" s="1"/>
  <c r="R19" i="7"/>
  <c r="Q29" i="7"/>
  <c r="Q12" i="14" s="1"/>
  <c r="Q19" i="7"/>
  <c r="R29" i="7"/>
  <c r="R12" i="14" s="1"/>
  <c r="R13" i="14" s="1"/>
  <c r="E9" i="6"/>
  <c r="E30" i="6" s="1"/>
  <c r="E12" i="7"/>
  <c r="E11" i="7"/>
  <c r="T24" i="7"/>
  <c r="K25" i="4" l="1"/>
  <c r="L25" i="4" s="1"/>
  <c r="E34" i="9"/>
  <c r="E32" i="9"/>
  <c r="E53" i="9" s="1"/>
  <c r="E40" i="9"/>
  <c r="E38" i="7"/>
  <c r="E42" i="7"/>
  <c r="E43" i="7" s="1"/>
  <c r="Q55" i="7"/>
  <c r="E32" i="7"/>
  <c r="E52" i="7" s="1"/>
  <c r="E30" i="7"/>
  <c r="R55" i="7"/>
  <c r="Q13" i="14"/>
  <c r="U27" i="7"/>
  <c r="T18" i="7"/>
  <c r="U14" i="7"/>
  <c r="U16" i="12" s="1"/>
  <c r="E25" i="6"/>
  <c r="E28" i="6"/>
  <c r="E27" i="6"/>
  <c r="E32" i="6"/>
  <c r="E31" i="6"/>
  <c r="E26" i="6"/>
  <c r="E29" i="6"/>
  <c r="U24" i="7"/>
  <c r="E41" i="7" l="1"/>
  <c r="R56" i="7" s="1"/>
  <c r="E41" i="9"/>
  <c r="E39" i="7"/>
  <c r="V27" i="7"/>
  <c r="U18" i="7"/>
  <c r="V14" i="7"/>
  <c r="V16" i="12" s="1"/>
  <c r="S29" i="7"/>
  <c r="S12" i="14" s="1"/>
  <c r="S19" i="7"/>
  <c r="E14" i="6"/>
  <c r="E16" i="6"/>
  <c r="V24" i="7"/>
  <c r="E43" i="9" l="1"/>
  <c r="P56" i="7"/>
  <c r="N56" i="7"/>
  <c r="K56" i="7"/>
  <c r="I56" i="7"/>
  <c r="L56" i="7"/>
  <c r="G56" i="7"/>
  <c r="H56" i="7"/>
  <c r="M56" i="7"/>
  <c r="F56" i="7"/>
  <c r="F57" i="7" s="1"/>
  <c r="O56" i="7"/>
  <c r="J56" i="7"/>
  <c r="Q56" i="7"/>
  <c r="E53" i="7"/>
  <c r="E54" i="7" s="1"/>
  <c r="E61" i="7" s="1"/>
  <c r="S55" i="7"/>
  <c r="S56" i="7" s="1"/>
  <c r="S13" i="14"/>
  <c r="W27" i="7"/>
  <c r="W14" i="7"/>
  <c r="W16" i="12" s="1"/>
  <c r="V18" i="7"/>
  <c r="T19" i="7"/>
  <c r="T29" i="7"/>
  <c r="T12" i="14" s="1"/>
  <c r="T13" i="14" s="1"/>
  <c r="U32" i="9"/>
  <c r="V32" i="9"/>
  <c r="W32" i="9"/>
  <c r="X32" i="9"/>
  <c r="Y32" i="9"/>
  <c r="E15" i="6"/>
  <c r="E24" i="6"/>
  <c r="E13" i="6"/>
  <c r="C13" i="6"/>
  <c r="D13" i="6"/>
  <c r="E22" i="6"/>
  <c r="E17" i="6"/>
  <c r="E18" i="6"/>
  <c r="E19" i="6"/>
  <c r="E21" i="6"/>
  <c r="E23" i="6"/>
  <c r="E20" i="6"/>
  <c r="W24" i="7"/>
  <c r="F62" i="7" l="1"/>
  <c r="G57" i="7"/>
  <c r="R57" i="9"/>
  <c r="Q57" i="9"/>
  <c r="P57" i="9"/>
  <c r="O57" i="9"/>
  <c r="Y57" i="9"/>
  <c r="J57" i="9"/>
  <c r="K57" i="9"/>
  <c r="G57" i="9"/>
  <c r="N57" i="9"/>
  <c r="L57" i="9"/>
  <c r="X57" i="9"/>
  <c r="M57" i="9"/>
  <c r="W57" i="9"/>
  <c r="S57" i="9"/>
  <c r="I57" i="9"/>
  <c r="F57" i="9"/>
  <c r="F58" i="9" s="1"/>
  <c r="H57" i="9"/>
  <c r="T57" i="9"/>
  <c r="U57" i="9"/>
  <c r="V57" i="9"/>
  <c r="E54" i="9"/>
  <c r="E55" i="9" s="1"/>
  <c r="E62" i="9" s="1"/>
  <c r="E44" i="9"/>
  <c r="E45" i="9" s="1"/>
  <c r="W35" i="9"/>
  <c r="Y35" i="9"/>
  <c r="U35" i="9"/>
  <c r="X35" i="9"/>
  <c r="V35" i="9"/>
  <c r="T55" i="7"/>
  <c r="T56" i="7" s="1"/>
  <c r="F24" i="9"/>
  <c r="F25" i="9" s="1"/>
  <c r="F22" i="7"/>
  <c r="F23" i="7" s="1"/>
  <c r="X27" i="7"/>
  <c r="W18" i="7"/>
  <c r="X14" i="7"/>
  <c r="X16" i="12" s="1"/>
  <c r="U19" i="7"/>
  <c r="U29" i="7"/>
  <c r="C14" i="6"/>
  <c r="D14" i="6" s="1"/>
  <c r="X24" i="7"/>
  <c r="F63" i="9" l="1"/>
  <c r="G58" i="9"/>
  <c r="H57" i="7"/>
  <c r="G62" i="7"/>
  <c r="F32" i="9"/>
  <c r="U55" i="7"/>
  <c r="U56" i="7" s="1"/>
  <c r="F30" i="7"/>
  <c r="U30" i="7"/>
  <c r="U12" i="14"/>
  <c r="G24" i="9"/>
  <c r="G25" i="9" s="1"/>
  <c r="G22" i="7"/>
  <c r="G23" i="7" s="1"/>
  <c r="Y27" i="7"/>
  <c r="X18" i="7"/>
  <c r="Y14" i="7"/>
  <c r="Y16" i="12" s="1"/>
  <c r="V19" i="7"/>
  <c r="V29" i="7"/>
  <c r="C15" i="6"/>
  <c r="D15" i="6" s="1"/>
  <c r="Y24" i="7"/>
  <c r="H62" i="7" l="1"/>
  <c r="I57" i="7"/>
  <c r="H58" i="9"/>
  <c r="G63" i="9"/>
  <c r="F35" i="9"/>
  <c r="F37" i="9" s="1"/>
  <c r="F38" i="9" s="1"/>
  <c r="G32" i="9"/>
  <c r="F33" i="7"/>
  <c r="U33" i="7"/>
  <c r="V55" i="7"/>
  <c r="V56" i="7" s="1"/>
  <c r="G30" i="7"/>
  <c r="V30" i="7"/>
  <c r="V12" i="14"/>
  <c r="V13" i="14" s="1"/>
  <c r="U13" i="14"/>
  <c r="C16" i="6"/>
  <c r="D16" i="6" s="1"/>
  <c r="H24" i="9"/>
  <c r="H25" i="9" s="1"/>
  <c r="H22" i="7"/>
  <c r="H23" i="7" s="1"/>
  <c r="Y18" i="7"/>
  <c r="W19" i="7"/>
  <c r="W29" i="7"/>
  <c r="H63" i="9" l="1"/>
  <c r="I58" i="9"/>
  <c r="I62" i="7"/>
  <c r="J57" i="7"/>
  <c r="C17" i="6"/>
  <c r="D17" i="6" s="1"/>
  <c r="J22" i="7" s="1"/>
  <c r="J23" i="7" s="1"/>
  <c r="F34" i="9"/>
  <c r="G35" i="9"/>
  <c r="G37" i="9" s="1"/>
  <c r="G38" i="9" s="1"/>
  <c r="H32" i="9"/>
  <c r="F35" i="7"/>
  <c r="F13" i="12" s="1"/>
  <c r="U35" i="7"/>
  <c r="U13" i="12" s="1"/>
  <c r="G33" i="7"/>
  <c r="V33" i="7"/>
  <c r="W55" i="7"/>
  <c r="W56" i="7" s="1"/>
  <c r="H30" i="7"/>
  <c r="W30" i="7"/>
  <c r="W12" i="14"/>
  <c r="W13" i="14" s="1"/>
  <c r="I24" i="9"/>
  <c r="I25" i="9" s="1"/>
  <c r="I22" i="7"/>
  <c r="I23" i="7" s="1"/>
  <c r="Y29" i="7"/>
  <c r="X19" i="7"/>
  <c r="X29" i="7"/>
  <c r="J24" i="9" l="1"/>
  <c r="C18" i="6"/>
  <c r="D18" i="6" s="1"/>
  <c r="K24" i="9" s="1"/>
  <c r="K25" i="9" s="1"/>
  <c r="J62" i="7"/>
  <c r="K57" i="7"/>
  <c r="I63" i="9"/>
  <c r="J58" i="9"/>
  <c r="F53" i="9"/>
  <c r="F60" i="9" s="1"/>
  <c r="F40" i="9"/>
  <c r="G34" i="9"/>
  <c r="H35" i="9"/>
  <c r="H37" i="9" s="1"/>
  <c r="I32" i="9"/>
  <c r="F32" i="7"/>
  <c r="F38" i="7" s="1"/>
  <c r="U32" i="7"/>
  <c r="U38" i="7" s="1"/>
  <c r="V35" i="7"/>
  <c r="V13" i="12" s="1"/>
  <c r="U36" i="7"/>
  <c r="F36" i="7"/>
  <c r="G35" i="7"/>
  <c r="G13" i="12" s="1"/>
  <c r="G14" i="12" s="1"/>
  <c r="H33" i="7"/>
  <c r="X55" i="7"/>
  <c r="X56" i="7" s="1"/>
  <c r="W33" i="7"/>
  <c r="I30" i="7"/>
  <c r="J30" i="7"/>
  <c r="Y30" i="7"/>
  <c r="Y12" i="14"/>
  <c r="X30" i="7"/>
  <c r="X12" i="14"/>
  <c r="X13" i="14" s="1"/>
  <c r="Y19" i="7"/>
  <c r="J25" i="9" l="1"/>
  <c r="J32" i="9" s="1"/>
  <c r="J35" i="9" s="1"/>
  <c r="J37" i="9" s="1"/>
  <c r="J38" i="9" s="1"/>
  <c r="C19" i="6"/>
  <c r="D19" i="6" s="1"/>
  <c r="K22" i="7"/>
  <c r="K23" i="7" s="1"/>
  <c r="J63" i="9"/>
  <c r="K58" i="9"/>
  <c r="K62" i="7"/>
  <c r="L57" i="7"/>
  <c r="F54" i="9"/>
  <c r="F55" i="9" s="1"/>
  <c r="F62" i="9" s="1"/>
  <c r="G53" i="9"/>
  <c r="G54" i="9" s="1"/>
  <c r="G40" i="9"/>
  <c r="G44" i="9" s="1"/>
  <c r="F44" i="9"/>
  <c r="F45" i="9" s="1"/>
  <c r="F41" i="9"/>
  <c r="U52" i="7"/>
  <c r="U53" i="7" s="1"/>
  <c r="U42" i="7"/>
  <c r="F52" i="7"/>
  <c r="F59" i="7" s="1"/>
  <c r="F42" i="7"/>
  <c r="F43" i="7" s="1"/>
  <c r="H38" i="9"/>
  <c r="H34" i="9"/>
  <c r="I35" i="9"/>
  <c r="I37" i="9" s="1"/>
  <c r="I38" i="9" s="1"/>
  <c r="K32" i="9"/>
  <c r="V32" i="7"/>
  <c r="V38" i="7" s="1"/>
  <c r="G32" i="7"/>
  <c r="G38" i="7" s="1"/>
  <c r="G36" i="7"/>
  <c r="I33" i="7"/>
  <c r="H35" i="7"/>
  <c r="H13" i="12" s="1"/>
  <c r="H14" i="12" s="1"/>
  <c r="W35" i="7"/>
  <c r="W13" i="12" s="1"/>
  <c r="J33" i="7"/>
  <c r="X33" i="7"/>
  <c r="V36" i="7"/>
  <c r="Y55" i="7"/>
  <c r="Y56" i="7" s="1"/>
  <c r="Y33" i="7"/>
  <c r="Y13" i="14"/>
  <c r="E15" i="14"/>
  <c r="L24" i="9"/>
  <c r="L25" i="9" s="1"/>
  <c r="L22" i="7"/>
  <c r="L23" i="7" s="1"/>
  <c r="C20" i="6"/>
  <c r="D20" i="6" s="1"/>
  <c r="K30" i="7" l="1"/>
  <c r="K33" i="7" s="1"/>
  <c r="L62" i="7"/>
  <c r="M57" i="7"/>
  <c r="K63" i="9"/>
  <c r="L58" i="9"/>
  <c r="G55" i="9"/>
  <c r="G62" i="9" s="1"/>
  <c r="F59" i="9"/>
  <c r="G45" i="9"/>
  <c r="G41" i="9"/>
  <c r="H53" i="9"/>
  <c r="H54" i="9" s="1"/>
  <c r="H40" i="9"/>
  <c r="F39" i="7"/>
  <c r="F53" i="7"/>
  <c r="F54" i="7" s="1"/>
  <c r="F61" i="7" s="1"/>
  <c r="V52" i="7"/>
  <c r="V53" i="7" s="1"/>
  <c r="V42" i="7"/>
  <c r="G42" i="7"/>
  <c r="G43" i="7" s="1"/>
  <c r="G52" i="7"/>
  <c r="G53" i="7" s="1"/>
  <c r="J34" i="9"/>
  <c r="K35" i="9"/>
  <c r="K37" i="9" s="1"/>
  <c r="K38" i="9" s="1"/>
  <c r="I34" i="9"/>
  <c r="L32" i="9"/>
  <c r="H32" i="7"/>
  <c r="H38" i="7" s="1"/>
  <c r="W32" i="7"/>
  <c r="W38" i="7" s="1"/>
  <c r="W36" i="7"/>
  <c r="H36" i="7"/>
  <c r="Y35" i="7"/>
  <c r="Y13" i="12" s="1"/>
  <c r="J35" i="7"/>
  <c r="J13" i="12" s="1"/>
  <c r="J14" i="12" s="1"/>
  <c r="X35" i="7"/>
  <c r="X13" i="12" s="1"/>
  <c r="I35" i="7"/>
  <c r="I13" i="12" s="1"/>
  <c r="I14" i="12" s="1"/>
  <c r="L30" i="7"/>
  <c r="M24" i="9"/>
  <c r="M25" i="9" s="1"/>
  <c r="M22" i="7"/>
  <c r="M23" i="7" s="1"/>
  <c r="C21" i="6"/>
  <c r="D21" i="6" s="1"/>
  <c r="H55" i="9" l="1"/>
  <c r="H62" i="9" s="1"/>
  <c r="M58" i="9"/>
  <c r="L63" i="9"/>
  <c r="M62" i="7"/>
  <c r="N57" i="7"/>
  <c r="G59" i="9"/>
  <c r="H41" i="9"/>
  <c r="H44" i="9"/>
  <c r="H45" i="9" s="1"/>
  <c r="J53" i="9"/>
  <c r="J54" i="9" s="1"/>
  <c r="J40" i="9"/>
  <c r="J44" i="9" s="1"/>
  <c r="I53" i="9"/>
  <c r="I54" i="9" s="1"/>
  <c r="I40" i="9"/>
  <c r="I44" i="9" s="1"/>
  <c r="G54" i="7"/>
  <c r="G61" i="7" s="1"/>
  <c r="G39" i="7"/>
  <c r="F58" i="7"/>
  <c r="W42" i="7"/>
  <c r="W52" i="7"/>
  <c r="W53" i="7" s="1"/>
  <c r="H52" i="7"/>
  <c r="H53" i="7" s="1"/>
  <c r="K34" i="9"/>
  <c r="L35" i="9"/>
  <c r="L37" i="9" s="1"/>
  <c r="M32" i="9"/>
  <c r="Y32" i="7"/>
  <c r="Y38" i="7" s="1"/>
  <c r="I32" i="7"/>
  <c r="I38" i="7" s="1"/>
  <c r="X32" i="7"/>
  <c r="X38" i="7" s="1"/>
  <c r="J32" i="7"/>
  <c r="J38" i="7" s="1"/>
  <c r="J36" i="7"/>
  <c r="K35" i="7"/>
  <c r="K13" i="12" s="1"/>
  <c r="K14" i="12" s="1"/>
  <c r="X36" i="7"/>
  <c r="Y36" i="7"/>
  <c r="I36" i="7"/>
  <c r="L33" i="7"/>
  <c r="M30" i="7"/>
  <c r="N24" i="9"/>
  <c r="N22" i="7"/>
  <c r="C22" i="6"/>
  <c r="D22" i="6" s="1"/>
  <c r="N23" i="7" l="1"/>
  <c r="N30" i="7" s="1"/>
  <c r="N33" i="7" s="1"/>
  <c r="N25" i="9"/>
  <c r="N32" i="9" s="1"/>
  <c r="N35" i="9" s="1"/>
  <c r="H59" i="9"/>
  <c r="I55" i="9"/>
  <c r="I62" i="9" s="1"/>
  <c r="N62" i="7"/>
  <c r="O57" i="7"/>
  <c r="M63" i="9"/>
  <c r="N58" i="9"/>
  <c r="I45" i="9"/>
  <c r="J45" i="9" s="1"/>
  <c r="I41" i="9"/>
  <c r="J41" i="9" s="1"/>
  <c r="K53" i="9"/>
  <c r="K54" i="9" s="1"/>
  <c r="K40" i="9"/>
  <c r="K44" i="9" s="1"/>
  <c r="H54" i="7"/>
  <c r="H61" i="7" s="1"/>
  <c r="G58" i="7"/>
  <c r="Y52" i="7"/>
  <c r="Y53" i="7" s="1"/>
  <c r="Y42" i="7"/>
  <c r="H42" i="7"/>
  <c r="H43" i="7" s="1"/>
  <c r="X42" i="7"/>
  <c r="X52" i="7"/>
  <c r="X53" i="7" s="1"/>
  <c r="I52" i="7"/>
  <c r="I53" i="7" s="1"/>
  <c r="I42" i="7"/>
  <c r="J52" i="7"/>
  <c r="J53" i="7" s="1"/>
  <c r="J42" i="7"/>
  <c r="H39" i="7"/>
  <c r="L38" i="9"/>
  <c r="L34" i="9"/>
  <c r="M35" i="9"/>
  <c r="M37" i="9" s="1"/>
  <c r="M38" i="9" s="1"/>
  <c r="K32" i="7"/>
  <c r="K38" i="7" s="1"/>
  <c r="L35" i="7"/>
  <c r="L13" i="12" s="1"/>
  <c r="L14" i="12" s="1"/>
  <c r="M33" i="7"/>
  <c r="K36" i="7"/>
  <c r="O24" i="9"/>
  <c r="O22" i="7"/>
  <c r="C23" i="6"/>
  <c r="O25" i="9" l="1"/>
  <c r="O32" i="9" s="1"/>
  <c r="O35" i="9" s="1"/>
  <c r="O23" i="7"/>
  <c r="O30" i="7" s="1"/>
  <c r="O33" i="7" s="1"/>
  <c r="I59" i="9"/>
  <c r="J55" i="9"/>
  <c r="J62" i="9" s="1"/>
  <c r="N63" i="9"/>
  <c r="O58" i="9"/>
  <c r="O62" i="7"/>
  <c r="P57" i="7"/>
  <c r="K45" i="9"/>
  <c r="K41" i="9"/>
  <c r="L53" i="9"/>
  <c r="L54" i="9" s="1"/>
  <c r="L40" i="9"/>
  <c r="L44" i="9" s="1"/>
  <c r="I54" i="7"/>
  <c r="I61" i="7" s="1"/>
  <c r="H58" i="7"/>
  <c r="I43" i="7"/>
  <c r="J43" i="7" s="1"/>
  <c r="I39" i="7"/>
  <c r="J39" i="7" s="1"/>
  <c r="K42" i="7"/>
  <c r="K52" i="7"/>
  <c r="K53" i="7" s="1"/>
  <c r="M34" i="9"/>
  <c r="L32" i="7"/>
  <c r="L38" i="7" s="1"/>
  <c r="N35" i="7"/>
  <c r="N13" i="12" s="1"/>
  <c r="N14" i="12" s="1"/>
  <c r="M35" i="7"/>
  <c r="M13" i="12" s="1"/>
  <c r="M14" i="12" s="1"/>
  <c r="L36" i="7"/>
  <c r="N37" i="9"/>
  <c r="D23" i="6"/>
  <c r="L45" i="9" l="1"/>
  <c r="J59" i="9"/>
  <c r="K55" i="9"/>
  <c r="K62" i="9" s="1"/>
  <c r="P62" i="7"/>
  <c r="Q57" i="7"/>
  <c r="O63" i="9"/>
  <c r="P58" i="9"/>
  <c r="L41" i="9"/>
  <c r="M53" i="9"/>
  <c r="M54" i="9" s="1"/>
  <c r="M40" i="9"/>
  <c r="M44" i="9" s="1"/>
  <c r="J54" i="7"/>
  <c r="J61" i="7" s="1"/>
  <c r="I58" i="7"/>
  <c r="K39" i="7"/>
  <c r="K43" i="7"/>
  <c r="L42" i="7"/>
  <c r="L52" i="7"/>
  <c r="L53" i="7" s="1"/>
  <c r="N38" i="9"/>
  <c r="N34" i="9"/>
  <c r="M32" i="7"/>
  <c r="M38" i="7" s="1"/>
  <c r="N32" i="7"/>
  <c r="N38" i="7" s="1"/>
  <c r="M36" i="7"/>
  <c r="O35" i="7"/>
  <c r="O13" i="12" s="1"/>
  <c r="O14" i="12" s="1"/>
  <c r="N36" i="7"/>
  <c r="P24" i="9"/>
  <c r="P22" i="7"/>
  <c r="O37" i="9"/>
  <c r="C24" i="6"/>
  <c r="P25" i="9" l="1"/>
  <c r="P32" i="9" s="1"/>
  <c r="P35" i="9" s="1"/>
  <c r="P23" i="7"/>
  <c r="P30" i="7" s="1"/>
  <c r="P33" i="7" s="1"/>
  <c r="M45" i="9"/>
  <c r="L55" i="9"/>
  <c r="L62" i="9" s="1"/>
  <c r="K59" i="9"/>
  <c r="Q58" i="9"/>
  <c r="P63" i="9"/>
  <c r="R57" i="7"/>
  <c r="Q62" i="7"/>
  <c r="J58" i="7"/>
  <c r="K54" i="7"/>
  <c r="K61" i="7" s="1"/>
  <c r="N53" i="9"/>
  <c r="N54" i="9" s="1"/>
  <c r="N40" i="9"/>
  <c r="N44" i="9" s="1"/>
  <c r="M41" i="9"/>
  <c r="L43" i="7"/>
  <c r="N52" i="7"/>
  <c r="N53" i="7" s="1"/>
  <c r="N42" i="7"/>
  <c r="M52" i="7"/>
  <c r="M53" i="7" s="1"/>
  <c r="M42" i="7"/>
  <c r="L39" i="7"/>
  <c r="O38" i="9"/>
  <c r="O34" i="9"/>
  <c r="O32" i="7"/>
  <c r="O38" i="7" s="1"/>
  <c r="O36" i="7"/>
  <c r="D24" i="6"/>
  <c r="N45" i="9" l="1"/>
  <c r="L59" i="9"/>
  <c r="M55" i="9"/>
  <c r="M62" i="9" s="1"/>
  <c r="R62" i="7"/>
  <c r="S57" i="7"/>
  <c r="Q63" i="9"/>
  <c r="R58" i="9"/>
  <c r="M43" i="7"/>
  <c r="N43" i="7" s="1"/>
  <c r="K58" i="7"/>
  <c r="L54" i="7"/>
  <c r="L61" i="7" s="1"/>
  <c r="N41" i="9"/>
  <c r="O53" i="9"/>
  <c r="O54" i="9" s="1"/>
  <c r="O40" i="9"/>
  <c r="O44" i="9" s="1"/>
  <c r="O45" i="9" s="1"/>
  <c r="M39" i="7"/>
  <c r="N39" i="7" s="1"/>
  <c r="O42" i="7"/>
  <c r="O52" i="7"/>
  <c r="O53" i="7" s="1"/>
  <c r="P35" i="7"/>
  <c r="P13" i="12" s="1"/>
  <c r="P14" i="12" s="1"/>
  <c r="Q24" i="9"/>
  <c r="Q22" i="7"/>
  <c r="C25" i="6"/>
  <c r="D25" i="6" s="1"/>
  <c r="P37" i="9"/>
  <c r="Q23" i="7" l="1"/>
  <c r="Q30" i="7" s="1"/>
  <c r="Q33" i="7" s="1"/>
  <c r="Q25" i="9"/>
  <c r="Q32" i="9" s="1"/>
  <c r="Q35" i="9" s="1"/>
  <c r="Q37" i="9" s="1"/>
  <c r="Q38" i="9" s="1"/>
  <c r="M59" i="9"/>
  <c r="N55" i="9"/>
  <c r="N59" i="9" s="1"/>
  <c r="R63" i="9"/>
  <c r="S58" i="9"/>
  <c r="T57" i="7"/>
  <c r="S62" i="7"/>
  <c r="L58" i="7"/>
  <c r="M54" i="7"/>
  <c r="M61" i="7" s="1"/>
  <c r="O41" i="9"/>
  <c r="O39" i="7"/>
  <c r="O43" i="7"/>
  <c r="P38" i="9"/>
  <c r="P34" i="9"/>
  <c r="P32" i="7"/>
  <c r="P38" i="7" s="1"/>
  <c r="P36" i="7"/>
  <c r="R24" i="9"/>
  <c r="R22" i="7"/>
  <c r="C26" i="6"/>
  <c r="D26" i="6" s="1"/>
  <c r="R23" i="7" l="1"/>
  <c r="R30" i="7" s="1"/>
  <c r="R33" i="7" s="1"/>
  <c r="R25" i="9"/>
  <c r="R32" i="9" s="1"/>
  <c r="R35" i="9" s="1"/>
  <c r="R37" i="9" s="1"/>
  <c r="R38" i="9" s="1"/>
  <c r="O55" i="9"/>
  <c r="O62" i="9" s="1"/>
  <c r="N62" i="9"/>
  <c r="U57" i="7"/>
  <c r="T62" i="7"/>
  <c r="T58" i="9"/>
  <c r="S63" i="9"/>
  <c r="M58" i="7"/>
  <c r="N54" i="7"/>
  <c r="N61" i="7" s="1"/>
  <c r="P53" i="9"/>
  <c r="P54" i="9" s="1"/>
  <c r="P55" i="9" s="1"/>
  <c r="P62" i="9" s="1"/>
  <c r="P40" i="9"/>
  <c r="P44" i="9" s="1"/>
  <c r="P45" i="9" s="1"/>
  <c r="P42" i="7"/>
  <c r="P43" i="7" s="1"/>
  <c r="P52" i="7"/>
  <c r="P53" i="7" s="1"/>
  <c r="Q34" i="9"/>
  <c r="Q35" i="7"/>
  <c r="Q13" i="12" s="1"/>
  <c r="Q14" i="12" s="1"/>
  <c r="S24" i="9"/>
  <c r="S22" i="7"/>
  <c r="C27" i="6"/>
  <c r="D27" i="6" s="1"/>
  <c r="S23" i="7" l="1"/>
  <c r="S30" i="7" s="1"/>
  <c r="S33" i="7" s="1"/>
  <c r="S25" i="9"/>
  <c r="S32" i="9" s="1"/>
  <c r="S35" i="9" s="1"/>
  <c r="O59" i="9"/>
  <c r="T63" i="9"/>
  <c r="U58" i="9"/>
  <c r="V57" i="7"/>
  <c r="U62" i="7"/>
  <c r="N58" i="7"/>
  <c r="O54" i="7"/>
  <c r="O61" i="7" s="1"/>
  <c r="P39" i="7"/>
  <c r="P41" i="9"/>
  <c r="Q53" i="9"/>
  <c r="Q54" i="9" s="1"/>
  <c r="Q55" i="9" s="1"/>
  <c r="Q59" i="9" s="1"/>
  <c r="Q40" i="9"/>
  <c r="Q44" i="9" s="1"/>
  <c r="Q45" i="9" s="1"/>
  <c r="P59" i="9"/>
  <c r="R34" i="9"/>
  <c r="Q32" i="7"/>
  <c r="Q38" i="7" s="1"/>
  <c r="Q36" i="7"/>
  <c r="R35" i="7"/>
  <c r="R13" i="12" s="1"/>
  <c r="R14" i="12" s="1"/>
  <c r="T24" i="9"/>
  <c r="T22" i="7"/>
  <c r="C28" i="6"/>
  <c r="T23" i="7" l="1"/>
  <c r="T30" i="7" s="1"/>
  <c r="T33" i="7" s="1"/>
  <c r="T25" i="9"/>
  <c r="T32" i="9" s="1"/>
  <c r="T35" i="9" s="1"/>
  <c r="P54" i="7"/>
  <c r="P61" i="7" s="1"/>
  <c r="W57" i="7"/>
  <c r="V62" i="7"/>
  <c r="U63" i="9"/>
  <c r="V58" i="9"/>
  <c r="O58" i="7"/>
  <c r="Q62" i="9"/>
  <c r="Q41" i="9"/>
  <c r="R53" i="9"/>
  <c r="R54" i="9" s="1"/>
  <c r="R55" i="9" s="1"/>
  <c r="R59" i="9" s="1"/>
  <c r="R40" i="9"/>
  <c r="R44" i="9" s="1"/>
  <c r="R45" i="9" s="1"/>
  <c r="Q52" i="7"/>
  <c r="Q53" i="7" s="1"/>
  <c r="Q42" i="7"/>
  <c r="Q43" i="7" s="1"/>
  <c r="R32" i="7"/>
  <c r="R38" i="7" s="1"/>
  <c r="R36" i="7"/>
  <c r="S35" i="7"/>
  <c r="S13" i="12" s="1"/>
  <c r="S14" i="12" s="1"/>
  <c r="S37" i="9"/>
  <c r="D28" i="6"/>
  <c r="P58" i="7" l="1"/>
  <c r="Q54" i="7"/>
  <c r="Q61" i="7" s="1"/>
  <c r="V63" i="9"/>
  <c r="W58" i="9"/>
  <c r="X57" i="7"/>
  <c r="W62" i="7"/>
  <c r="R62" i="9"/>
  <c r="R41" i="9"/>
  <c r="Q39" i="7"/>
  <c r="R52" i="7"/>
  <c r="R53" i="7" s="1"/>
  <c r="S38" i="9"/>
  <c r="S34" i="9"/>
  <c r="S32" i="7"/>
  <c r="S38" i="7" s="1"/>
  <c r="T35" i="7"/>
  <c r="T13" i="12" s="1"/>
  <c r="T14" i="12" s="1"/>
  <c r="S36" i="7"/>
  <c r="T37" i="9"/>
  <c r="C29" i="6"/>
  <c r="R54" i="7" l="1"/>
  <c r="R61" i="7" s="1"/>
  <c r="Q58" i="7"/>
  <c r="Y57" i="7"/>
  <c r="Y62" i="7" s="1"/>
  <c r="X62" i="7"/>
  <c r="W63" i="9"/>
  <c r="X58" i="9"/>
  <c r="S53" i="9"/>
  <c r="S54" i="9" s="1"/>
  <c r="S55" i="9" s="1"/>
  <c r="S59" i="9" s="1"/>
  <c r="S40" i="9"/>
  <c r="S44" i="9" s="1"/>
  <c r="S45" i="9" s="1"/>
  <c r="R39" i="7"/>
  <c r="S42" i="7"/>
  <c r="S52" i="7"/>
  <c r="S53" i="7" s="1"/>
  <c r="R42" i="7"/>
  <c r="R43" i="7" s="1"/>
  <c r="T38" i="9"/>
  <c r="T34" i="9"/>
  <c r="T32" i="7"/>
  <c r="T38" i="7" s="1"/>
  <c r="T36" i="7"/>
  <c r="D29" i="6"/>
  <c r="R58" i="7" l="1"/>
  <c r="S54" i="7"/>
  <c r="S61" i="7" s="1"/>
  <c r="X63" i="9"/>
  <c r="Y58" i="9"/>
  <c r="Y63" i="9" s="1"/>
  <c r="S41" i="9"/>
  <c r="S62" i="9"/>
  <c r="T53" i="9"/>
  <c r="T54" i="9" s="1"/>
  <c r="T55" i="9" s="1"/>
  <c r="T59" i="9" s="1"/>
  <c r="T40" i="9"/>
  <c r="T44" i="9" s="1"/>
  <c r="T45" i="9" s="1"/>
  <c r="S39" i="7"/>
  <c r="S43" i="7"/>
  <c r="E47" i="7" a="1"/>
  <c r="E47" i="7" s="1"/>
  <c r="E45" i="7"/>
  <c r="T52" i="7"/>
  <c r="T53" i="7" s="1"/>
  <c r="U14" i="12"/>
  <c r="U37" i="9"/>
  <c r="C30" i="6"/>
  <c r="D30" i="6" s="1"/>
  <c r="S58" i="7" l="1"/>
  <c r="T54" i="7"/>
  <c r="T61" i="7" s="1"/>
  <c r="E15" i="16"/>
  <c r="T62" i="9"/>
  <c r="T41" i="9"/>
  <c r="E46" i="7"/>
  <c r="T42" i="7"/>
  <c r="T43" i="7" s="1"/>
  <c r="U43" i="7" s="1"/>
  <c r="V43" i="7" s="1"/>
  <c r="W43" i="7" s="1"/>
  <c r="X43" i="7" s="1"/>
  <c r="Y43" i="7" s="1"/>
  <c r="E49" i="7" s="1" a="1"/>
  <c r="E49" i="7" s="1"/>
  <c r="T39" i="7"/>
  <c r="U39" i="7" s="1"/>
  <c r="V39" i="7" s="1"/>
  <c r="W39" i="7" s="1"/>
  <c r="X39" i="7" s="1"/>
  <c r="Y39" i="7" s="1"/>
  <c r="E48" i="7" s="1" a="1"/>
  <c r="E48" i="7" s="1"/>
  <c r="B39" i="13"/>
  <c r="U38" i="9"/>
  <c r="U34" i="9"/>
  <c r="C31" i="6"/>
  <c r="D31" i="6" s="1"/>
  <c r="T58" i="7" l="1"/>
  <c r="U54" i="7"/>
  <c r="U61" i="7" s="1"/>
  <c r="E16" i="16"/>
  <c r="U53" i="9"/>
  <c r="U54" i="9" s="1"/>
  <c r="U55" i="9" s="1"/>
  <c r="U59" i="9" s="1"/>
  <c r="U40" i="9"/>
  <c r="U44" i="9" s="1"/>
  <c r="U45" i="9" s="1"/>
  <c r="C39" i="13"/>
  <c r="V14" i="12"/>
  <c r="V37" i="9"/>
  <c r="C32" i="6"/>
  <c r="D32" i="6" s="1"/>
  <c r="V54" i="7" l="1"/>
  <c r="V61" i="7" s="1"/>
  <c r="U58" i="7"/>
  <c r="U41" i="9"/>
  <c r="U62" i="9"/>
  <c r="V38" i="9"/>
  <c r="V34" i="9"/>
  <c r="W14" i="12"/>
  <c r="W37" i="9"/>
  <c r="W54" i="7" l="1"/>
  <c r="W61" i="7" s="1"/>
  <c r="V58" i="7"/>
  <c r="V53" i="9"/>
  <c r="V54" i="9" s="1"/>
  <c r="V55" i="9" s="1"/>
  <c r="V62" i="9" s="1"/>
  <c r="V40" i="9"/>
  <c r="V44" i="9" s="1"/>
  <c r="V45" i="9" s="1"/>
  <c r="W38" i="9"/>
  <c r="W34" i="9"/>
  <c r="X14" i="12"/>
  <c r="X37" i="9"/>
  <c r="W58" i="7" l="1"/>
  <c r="X54" i="7"/>
  <c r="X58" i="7" s="1"/>
  <c r="V41" i="9"/>
  <c r="V59" i="9"/>
  <c r="W53" i="9"/>
  <c r="W54" i="9" s="1"/>
  <c r="W55" i="9" s="1"/>
  <c r="W62" i="9" s="1"/>
  <c r="W40" i="9"/>
  <c r="X38" i="9"/>
  <c r="X34" i="9"/>
  <c r="Y14" i="12"/>
  <c r="Y37" i="9"/>
  <c r="Y54" i="7" l="1"/>
  <c r="Y58" i="7" s="1"/>
  <c r="X61" i="7"/>
  <c r="W41" i="9"/>
  <c r="W44" i="9"/>
  <c r="W45" i="9" s="1"/>
  <c r="W59" i="9"/>
  <c r="X53" i="9"/>
  <c r="X54" i="9" s="1"/>
  <c r="X55" i="9" s="1"/>
  <c r="X59" i="9" s="1"/>
  <c r="X40" i="9"/>
  <c r="Y38" i="9"/>
  <c r="Y34" i="9"/>
  <c r="Y40" i="9" s="1"/>
  <c r="F14" i="12"/>
  <c r="Y61" i="7" l="1"/>
  <c r="E20" i="12"/>
  <c r="E19" i="12"/>
  <c r="E14" i="16" s="1"/>
  <c r="X41" i="9"/>
  <c r="Y41" i="9" s="1"/>
  <c r="E50" i="9" s="1" a="1"/>
  <c r="E50" i="9" s="1"/>
  <c r="X44" i="9"/>
  <c r="X45" i="9" s="1"/>
  <c r="X62" i="9"/>
  <c r="E49" i="9"/>
  <c r="Y53" i="9"/>
  <c r="Y54" i="9" s="1"/>
  <c r="Y55" i="9" s="1"/>
  <c r="Y44" i="9"/>
  <c r="E48" i="9"/>
  <c r="E47" i="9"/>
  <c r="E17" i="16" l="1"/>
  <c r="E18" i="16"/>
  <c r="Y45" i="9"/>
  <c r="E51" i="9" s="1" a="1"/>
  <c r="E51" i="9" s="1"/>
  <c r="Y59" i="9"/>
  <c r="Y62" i="9"/>
  <c r="E39" i="13"/>
  <c r="D39" i="1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<sst xmlns="http://schemas.openxmlformats.org/spreadsheetml/2006/main" count="358" uniqueCount="216">
  <si>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</si>
  <si>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</si>
  <si>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</si>
  <si>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</si>
  <si>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</si>
  <si>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</si>
  <si>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</si>
  <si>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</si>
  <si>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</si>
  <si>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</si>
  <si>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</si>
  <si>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</si>
  <si>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</si>
  <si>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</si>
  <si>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</si>
  <si>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</si>
  <si>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</si>
  <si>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</si>
  <si>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</si>
  <si>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</si>
  <si>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</si>
  <si>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</si>
  <si>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Drvo sertifikovano</t>
  </si>
  <si>
    <t>EUR ili -</t>
  </si>
  <si>
    <t>MWh/a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</si>
  <si>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</si>
  <si>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</si>
  <si>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</si>
  <si>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</si>
  <si>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</si>
  <si>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RSD/MWh</t>
  </si>
  <si>
    <t xml:space="preserve"> -</t>
  </si>
  <si>
    <t>Sopstveni kapital</t>
  </si>
  <si>
    <t>MW</t>
  </si>
  <si>
    <t>RSD/m3</t>
  </si>
  <si>
    <t>l/s</t>
  </si>
  <si>
    <t>Termoizolacija omotača zgrade</t>
  </si>
  <si>
    <t>Projekat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</si>
  <si>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</si>
  <si>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</si>
  <si>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</si>
  <si>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</si>
  <si>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</si>
  <si>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</si>
  <si>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</si>
  <si>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</si>
  <si>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</si>
  <si>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</si>
  <si>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 sistema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</si>
  <si>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</si>
  <si>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</si>
  <si>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</si>
  <si>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</si>
  <si>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</si>
  <si>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dozvole,ostalo)</t>
  </si>
  <si>
    <t>Nadzor i upravljanje projektom</t>
  </si>
  <si>
    <t>Toplotna pumpa - nabavka</t>
  </si>
  <si>
    <t>Prateća oprema i materijal - nabavka</t>
  </si>
  <si>
    <t>Toplotna pumpa - ugradnja</t>
  </si>
  <si>
    <t>Prateća oprema i materijal - ugradnja</t>
  </si>
  <si>
    <t>Građevinski radovi</t>
  </si>
  <si>
    <t>Nepredviđeni troškovi</t>
  </si>
  <si>
    <t>Upravljački deo i SCADA</t>
  </si>
  <si>
    <t>Elektro energetske instalacije</t>
  </si>
  <si>
    <t>Primopredaja postrojenja</t>
  </si>
  <si>
    <t>ESCO/DH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</si>
  <si>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</si>
  <si>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</si>
  <si>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</si>
  <si>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</si>
  <si>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</si>
  <si>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usluge</t>
  </si>
  <si>
    <t>Vremenski okvir projekta</t>
  </si>
  <si>
    <t>Diskontna stopa</t>
  </si>
  <si>
    <t>Gorivo ili energija</t>
  </si>
  <si>
    <t>Kamatna stopa na sredstva iz kredita</t>
  </si>
  <si>
    <t>UNOS PODATAKA ZA PRORAČUN</t>
  </si>
  <si>
    <t>CO2 Taksa</t>
  </si>
  <si>
    <t>Konverzioni CO2 faktor - t/MWh primarne energije</t>
  </si>
  <si>
    <t>Ukupno:</t>
  </si>
  <si>
    <t>Ukupno uključujući PDV:</t>
  </si>
  <si>
    <t>UKUPNO:</t>
  </si>
  <si>
    <t>KREDIT:</t>
  </si>
  <si>
    <t>ENERGIJA I TROŠKOVI ENERGIJE</t>
  </si>
  <si>
    <t>Proizvodnja toplote</t>
  </si>
  <si>
    <t>Cena električne energije</t>
  </si>
  <si>
    <t>Cena toplote za krajnje kupce</t>
  </si>
  <si>
    <t>Koeficijent performanse (COP)</t>
  </si>
  <si>
    <t>Kapacitet toplotne pumpe</t>
  </si>
  <si>
    <t>Broj radnih sati sa nominalnim kapacitetom</t>
  </si>
  <si>
    <t>Potrošnja električne energije (kompresori toplotne pumpe)</t>
  </si>
  <si>
    <t>Nominalni protok vode</t>
  </si>
  <si>
    <t>Cena vode</t>
  </si>
  <si>
    <r>
      <t>Referentno gorivo za proračun emisije CO</t>
    </r>
    <r>
      <rPr>
        <vertAlign val="subscript"/>
        <sz val="11"/>
        <color theme="1"/>
        <rFont val="Calibri"/>
        <family val="2"/>
        <scheme val="minor"/>
      </rPr>
      <t>2</t>
    </r>
  </si>
  <si>
    <t>Postoji li garancija porekla</t>
  </si>
  <si>
    <t>IZRAČUNAVANJE ANUITETA</t>
  </si>
  <si>
    <t>Iznos kredita:</t>
  </si>
  <si>
    <t>Preostali iznos glavnice (EUR)</t>
  </si>
  <si>
    <t>Kamata = Troškovi kredita (EUR)</t>
  </si>
  <si>
    <t>Anuiteti (EUR)</t>
  </si>
  <si>
    <t>FINANSIJSKI INDIKATORI</t>
  </si>
  <si>
    <t>Vremenski okvri projekta</t>
  </si>
  <si>
    <t>Kredit (EUR)</t>
  </si>
  <si>
    <t>Sopstveni kapital (EUR)</t>
  </si>
  <si>
    <t>Proizvodnja toplote (MWh/a)</t>
  </si>
  <si>
    <t>Prodaja toplote (EUR/a)</t>
  </si>
  <si>
    <t>Ukupni prihod (EUR)</t>
  </si>
  <si>
    <t>Operativni troškovi (EUR/a)</t>
  </si>
  <si>
    <t>Troškovi održavanja (EUR/a)</t>
  </si>
  <si>
    <t>Troškovi električne energije (EUR/a)</t>
  </si>
  <si>
    <t>Ostalo (EUR/a)</t>
  </si>
  <si>
    <t>Udeo kupaca u uštedama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</si>
  <si>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</si>
  <si>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</si>
  <si>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</si>
  <si>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</si>
  <si>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</si>
  <si>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t>Potrošnja električne energije (MWh/a)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</si>
  <si>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</si>
  <si>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</si>
  <si>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Troškovi električne energije (EUR/MWh)</t>
  </si>
  <si>
    <t>Ukupni godišnji troškovi (EUR/a)</t>
  </si>
  <si>
    <t>GRAF / CASH FLOW / FINANSIJSKI</t>
  </si>
  <si>
    <t>GRAF / CASH FLOW / EKONOMSKI</t>
  </si>
  <si>
    <t>LCoE Proračun</t>
  </si>
  <si>
    <t>Vremenski okvir</t>
  </si>
  <si>
    <t>Investicija (EUR)</t>
  </si>
  <si>
    <t>Operativni troškovi i održavanje (EUR)</t>
  </si>
  <si>
    <t>Ukupni troškovi (EUR)</t>
  </si>
  <si>
    <t>ANALIZA OSTELJIVOSTI</t>
  </si>
  <si>
    <t>Priključenje novog objekta</t>
  </si>
  <si>
    <t>Rekonstrukcija podstanice</t>
  </si>
  <si>
    <t>Napomena: Toplotna pumpa voda/voda</t>
  </si>
  <si>
    <t>Snaga elektromotornih pogona (izuzev toplotne pumpe)</t>
  </si>
  <si>
    <t>kW</t>
  </si>
  <si>
    <t>Efikasnost mreže grejanja</t>
  </si>
  <si>
    <t>NAZAD</t>
  </si>
  <si>
    <t>DALJE</t>
  </si>
  <si>
    <t>Miks goriva</t>
  </si>
  <si>
    <t>ANALIZA OSETLJIVOSTI</t>
  </si>
  <si>
    <t>Udeo u uštedama ako gradi ESCO (EUR)</t>
  </si>
  <si>
    <t>Diskontovana vrednost udela (EUR)</t>
  </si>
  <si>
    <t>N/A</t>
  </si>
  <si>
    <t>GRAFIK / CASH FLOW / FINANSIJSKI</t>
  </si>
  <si>
    <t>REZIME PROJEKTA</t>
  </si>
  <si>
    <t>Investiciona vrednost (EUR)</t>
  </si>
  <si>
    <t>Subvencije (EUR)</t>
  </si>
  <si>
    <t>LCoE(EE) (EUR/MWh)</t>
  </si>
  <si>
    <t>FNPV (EUR)</t>
  </si>
  <si>
    <t>FIRR (%)</t>
  </si>
  <si>
    <t>Finansijska diskontna stopa</t>
  </si>
  <si>
    <t>Grantovi</t>
  </si>
  <si>
    <t>Kredit</t>
  </si>
  <si>
    <t>Ukupno</t>
  </si>
  <si>
    <t>Prinos na sopstveni kapital</t>
  </si>
  <si>
    <r>
      <t>Emisija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(t/MWh)</t>
    </r>
  </si>
  <si>
    <t>Grantovi (EUR)</t>
  </si>
  <si>
    <t>Kamate (EUR/a)</t>
  </si>
  <si>
    <t>Otplata glavnice (EUR/a)</t>
  </si>
  <si>
    <t>Amortizacija (EUR)</t>
  </si>
  <si>
    <t>BRUTO DOBIT (EUR/a)</t>
  </si>
  <si>
    <t>PRIHODI</t>
  </si>
  <si>
    <t>TROŠKOVI</t>
  </si>
  <si>
    <t>Ukupno troškovi cash flow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</si>
  <si>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</si>
  <si>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</si>
  <si>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</si>
  <si>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</si>
  <si>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</si>
  <si>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</si>
  <si>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</si>
  <si>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</si>
  <si>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</si>
  <si>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</si>
  <si>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</si>
  <si>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</si>
  <si>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</si>
  <si>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</si>
  <si>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</si>
  <si>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</si>
  <si>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</si>
  <si>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NPV</t>
  </si>
  <si>
    <t>IRR</t>
  </si>
  <si>
    <t>Bazni slučaj</t>
  </si>
  <si>
    <t>NPV = 0</t>
  </si>
  <si>
    <t>Cena toplote</t>
  </si>
  <si>
    <t>Koeficijent performanse</t>
  </si>
  <si>
    <t>Investicije</t>
  </si>
  <si>
    <r>
      <t>Bez CO</t>
    </r>
    <r>
      <rPr>
        <b/>
        <sz val="8"/>
        <color theme="1"/>
        <rFont val="Calibri"/>
        <family val="2"/>
        <scheme val="minor"/>
      </rPr>
      <t>2</t>
    </r>
  </si>
  <si>
    <r>
      <t>Sa CO</t>
    </r>
    <r>
      <rPr>
        <b/>
        <sz val="8"/>
        <color theme="1"/>
        <rFont val="Calibri"/>
        <family val="2"/>
        <scheme val="minor"/>
      </rPr>
      <t>2</t>
    </r>
  </si>
  <si>
    <t>godina</t>
  </si>
  <si>
    <t>Projekat “Bolja energija"</t>
  </si>
  <si>
    <r>
      <t>NPV CO</t>
    </r>
    <r>
      <rPr>
        <sz val="11"/>
        <color theme="0"/>
        <rFont val="Calibri"/>
        <family val="2"/>
      </rPr>
      <t>²</t>
    </r>
    <r>
      <rPr>
        <sz val="11"/>
        <color theme="0"/>
        <rFont val="Calibri"/>
        <family val="2"/>
        <scheme val="minor"/>
      </rPr>
      <t xml:space="preserve"> (EUR)</t>
    </r>
  </si>
  <si>
    <r>
      <t>IRR CO</t>
    </r>
    <r>
      <rPr>
        <sz val="11"/>
        <color theme="0"/>
        <rFont val="Calibri"/>
        <family val="2"/>
      </rPr>
      <t xml:space="preserve">² </t>
    </r>
    <r>
      <rPr>
        <sz val="11"/>
        <color theme="0"/>
        <rFont val="Calibri"/>
        <family val="2"/>
        <scheme val="minor"/>
      </rPr>
      <t>(%)</t>
    </r>
  </si>
  <si>
    <t>ANALIZA SA UKLJUČENIM CO₂</t>
  </si>
  <si>
    <t>KONVERZIONI FAKTOR ZA MIKS GORIVA</t>
  </si>
  <si>
    <t>GORIVO</t>
  </si>
  <si>
    <t>Primarna energija</t>
  </si>
  <si>
    <t>Emisioni faktor</t>
  </si>
  <si>
    <r>
      <t>Emisija CO</t>
    </r>
    <r>
      <rPr>
        <b/>
        <vertAlign val="subscript"/>
        <sz val="11"/>
        <color theme="0"/>
        <rFont val="Calibri"/>
        <family val="2"/>
        <scheme val="minor"/>
      </rPr>
      <t>2</t>
    </r>
  </si>
  <si>
    <t>-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</si>
  <si>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/a</t>
    </r>
  </si>
  <si>
    <t>Gorivo</t>
  </si>
  <si>
    <t>Konverzioni faktor za miks goriva koje se koristi u daljinskom grejanju: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</si>
  <si>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/MWh</t>
    </r>
  </si>
  <si>
    <t>GORIVA</t>
  </si>
  <si>
    <r>
      <t>t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/MWh</t>
    </r>
  </si>
  <si>
    <t>Kameni ugalj</t>
  </si>
  <si>
    <t>Lož ulje</t>
  </si>
  <si>
    <t>TNG</t>
  </si>
  <si>
    <t>Drvo (nesertifikovano)</t>
  </si>
  <si>
    <t>Suncokret ljuska</t>
  </si>
  <si>
    <t>Toplota (kupljena)</t>
  </si>
  <si>
    <t>Električna energija OIE</t>
  </si>
  <si>
    <t>Toplota iz DH</t>
  </si>
  <si>
    <t>Toplota iz toplana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</si>
</sst>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[Red]\-#,##0.00\ "/>
    <numFmt numFmtId="165" formatCode="0.000"/>
  </numFmts>
  <fonts count="1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rgb="FF002F6C"/>
      <name val="Gill Sans MT"/>
      <family val="2"/>
    </font>
    <font>
      <sz val="11"/>
      <color theme="0"/>
      <name val="Calibri"/>
      <family val="2"/>
    </font>
    <font>
      <b/>
      <sz val="16"/>
      <color rgb="FFFFFFFF"/>
      <name val="Calibri"/>
      <family val="2"/>
      <scheme val="minor"/>
    </font>
    <font>
      <b/>
      <vertAlign val="subscript"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theme="9" tint="0.79998168889431442"/>
        <bgColor indexed="64"/>
      </patternFill>
    </fill>
    <fill>
      <patternFill patternType="solid">
        <fgColor rgb="FF002060"/>
        <bgColor rgb="FF000000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9" fontId="9" fillId="0" borderId="0" applyFont="0" applyFill="0" applyBorder="0" applyAlignment="0" applyProtection="0"/>
  </cellStyleXfs>
  <cellXfs count="76">
    <xf numFmtId="0" fontId="0" fillId="0" borderId="0" xfId="0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4" fontId="0" fillId="0" borderId="0" xfId="0" applyNumberFormat="1"/>
    <xf numFmtId="0" fontId="2" fillId="2" borderId="0" xfId="0" applyFont="1" applyFill="1"/>
    <xf numFmtId="0" fontId="2" fillId="3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2" fontId="0" fillId="0" borderId="0" xfId="0" applyNumberFormat="1"/>
    <xf numFmtId="4" fontId="0" fillId="0" borderId="0" xfId="0" applyNumberFormat="1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2" fillId="4" borderId="0" xfId="0" applyNumberFormat="1" applyFont="1" applyFill="1"/>
    <xf numFmtId="4" fontId="0" fillId="0" borderId="0" xfId="0" applyNumberFormat="1" applyAlignment="1">
      <alignment horizontal="right"/>
    </xf>
    <xf numFmtId="0" fontId="1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9" fontId="0" fillId="0" borderId="0" xfId="0" applyNumberFormat="1"/>
    <xf numFmtId="0" fontId="2" fillId="4" borderId="0" xfId="0" applyFont="1" applyFill="1"/>
    <xf numFmtId="0" fontId="0" fillId="0" borderId="0" xfId="0" applyAlignment="1">
      <alignment horizontal="left"/>
    </xf>
    <xf numFmtId="4" fontId="0" fillId="0" borderId="0" xfId="0" applyNumberFormat="1" applyAlignment="1">
      <alignment horizontal="center"/>
    </xf>
    <xf numFmtId="10" fontId="2" fillId="4" borderId="0" xfId="0" applyNumberFormat="1" applyFont="1" applyFill="1"/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2" fillId="6" borderId="0" xfId="0" applyFont="1" applyFill="1"/>
    <xf numFmtId="0" fontId="0" fillId="6" borderId="0" xfId="0" applyFill="1"/>
    <xf numFmtId="40" fontId="0" fillId="0" borderId="0" xfId="0" applyNumberFormat="1" applyAlignment="1">
      <alignment horizontal="right"/>
    </xf>
    <xf numFmtId="10" fontId="0" fillId="0" borderId="0" xfId="2" applyNumberFormat="1" applyFont="1"/>
    <xf numFmtId="10" fontId="11" fillId="6" borderId="0" xfId="2" applyNumberFormat="1" applyFont="1" applyFill="1"/>
    <xf numFmtId="4" fontId="0" fillId="5" borderId="0" xfId="0" applyNumberFormat="1" applyFill="1"/>
    <xf numFmtId="0" fontId="0" fillId="5" borderId="0" xfId="0" applyFill="1"/>
    <xf numFmtId="0" fontId="12" fillId="0" borderId="0" xfId="0" applyFont="1" applyAlignment="1">
      <alignment horizontal="left"/>
    </xf>
    <xf numFmtId="0" fontId="12" fillId="9" borderId="0" xfId="0" applyFont="1" applyFill="1" applyAlignment="1">
      <alignment horizontal="left"/>
    </xf>
    <xf numFmtId="164" fontId="0" fillId="9" borderId="0" xfId="0" applyNumberFormat="1" applyFill="1"/>
    <xf numFmtId="0" fontId="0" fillId="9" borderId="0" xfId="0" applyFill="1"/>
    <xf numFmtId="4" fontId="0" fillId="9" borderId="0" xfId="0" applyNumberFormat="1" applyFill="1"/>
    <xf numFmtId="10" fontId="0" fillId="9" borderId="0" xfId="0" applyNumberFormat="1" applyFill="1"/>
    <xf numFmtId="0" fontId="0" fillId="9" borderId="0" xfId="0" applyFill="1" applyAlignment="1">
      <alignment horizontal="left"/>
    </xf>
    <xf numFmtId="0" fontId="10" fillId="0" borderId="1" xfId="0" applyFont="1" applyBorder="1" applyAlignment="1">
      <alignment horizontal="centerContinuous"/>
    </xf>
    <xf numFmtId="0" fontId="10" fillId="0" borderId="2" xfId="0" applyFont="1" applyBorder="1" applyAlignment="1">
      <alignment horizontal="centerContinuous"/>
    </xf>
    <xf numFmtId="0" fontId="10" fillId="0" borderId="3" xfId="0" applyFont="1" applyBorder="1" applyAlignment="1">
      <alignment horizontal="center"/>
    </xf>
    <xf numFmtId="0" fontId="10" fillId="0" borderId="0" xfId="0" applyFont="1"/>
    <xf numFmtId="164" fontId="0" fillId="0" borderId="0" xfId="0" applyNumberFormat="1"/>
    <xf numFmtId="164" fontId="0" fillId="0" borderId="0" xfId="2" applyNumberFormat="1" applyFont="1"/>
    <xf numFmtId="0" fontId="1" fillId="4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4" borderId="0" xfId="0" applyFont="1" applyFill="1" applyProtection="1">
      <protection locked="0"/>
    </xf>
    <xf numFmtId="4" fontId="1" fillId="4" borderId="0" xfId="0" applyNumberFormat="1" applyFont="1" applyFill="1" applyProtection="1">
      <protection locked="0"/>
    </xf>
    <xf numFmtId="165" fontId="12" fillId="0" borderId="0" xfId="0" applyNumberFormat="1" applyFont="1"/>
    <xf numFmtId="4" fontId="1" fillId="4" borderId="0" xfId="0" applyNumberFormat="1" applyFont="1" applyFill="1"/>
    <xf numFmtId="2" fontId="1" fillId="4" borderId="0" xfId="0" applyNumberFormat="1" applyFont="1" applyFill="1"/>
    <xf numFmtId="0" fontId="18" fillId="0" borderId="0" xfId="0" applyFont="1"/>
    <xf numFmtId="0" fontId="14" fillId="0" borderId="0" xfId="0" applyFont="1" applyAlignment="1">
      <alignment horizontal="center"/>
    </xf>
    <xf numFmtId="0" fontId="5" fillId="4" borderId="0" xfId="0" applyFont="1" applyFill="1" applyAlignment="1">
      <alignment horizontal="center" vertical="distributed"/>
    </xf>
    <xf numFmtId="0" fontId="3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center"/>
    </xf>
    <xf numFmtId="0" fontId="8" fillId="7" borderId="0" xfId="1" applyFont="1" applyFill="1" applyAlignment="1" applyProtection="1">
      <alignment horizontal="center" vertical="distributed"/>
      <protection locked="0"/>
    </xf>
    <xf numFmtId="0" fontId="8" fillId="8" borderId="0" xfId="1" applyFont="1" applyFill="1" applyAlignment="1" applyProtection="1">
      <alignment horizontal="center" vertical="distributed"/>
      <protection locked="0"/>
    </xf>
    <xf numFmtId="0" fontId="2" fillId="4" borderId="0" xfId="0" applyFont="1" applyFill="1" applyAlignment="1">
      <alignment horizontal="left" vertical="distributed"/>
    </xf>
    <xf numFmtId="0" fontId="3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4" borderId="0" xfId="0" applyFont="1" applyFill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5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16" fillId="10" borderId="0" xfId="0" applyFont="1" applyFill="1" applyAlignment="1">
      <alignment horizontal="center"/>
    </xf>
    <xf numFmtId="0" fontId="3" fillId="4" borderId="0" xfId="0" applyFont="1" applyFill="1" applyAlignment="1" applyProtection="1">
      <alignment horizontal="center" vertical="distributed"/>
      <protection locked="0"/>
    </xf>
    <xf numFmtId="4" fontId="0" fillId="0" borderId="0" xfId="0" applyNumberFormat="1" applyAlignment="1">
      <alignment horizontal="center"/>
    </xf>
    <xf numFmtId="10" fontId="0" fillId="0" borderId="0" xfId="2" applyNumberFormat="1" applyFont="1" applyAlignment="1">
      <alignment horizontal="center"/>
    </xf>
    <xf numFmtId="40" fontId="0" fillId="0" borderId="0" xfId="0" applyNumberForma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</a:t>
            </a:r>
            <a:r>
              <a:rPr lang="sr-Latn-RS" baseline="0"/>
              <a:t>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FinaIndicators!$A$58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FinaIndicators!$E$58:$Y$58</c:f>
              <c:numCache>
                <c:formatCode>#,##0.00</c:formatCode>
                <c:ptCount val="21"/>
                <c:pt idx="1">
                  <c:v>-97436.624240525038</c:v>
                </c:pt>
                <c:pt idx="2">
                  <c:v>-100552.05156917867</c:v>
                </c:pt>
                <c:pt idx="3">
                  <c:v>-103376.30198494111</c:v>
                </c:pt>
                <c:pt idx="4">
                  <c:v>-105936.58973024422</c:v>
                </c:pt>
                <c:pt idx="5">
                  <c:v>-108257.58552515131</c:v>
                </c:pt>
                <c:pt idx="6">
                  <c:v>-110361.65429236661</c:v>
                </c:pt>
                <c:pt idx="7">
                  <c:v>-112269.0706637729</c:v>
                </c:pt>
                <c:pt idx="8">
                  <c:v>-113998.21434510039</c:v>
                </c:pt>
                <c:pt idx="9">
                  <c:v>-115565.74722124438</c:v>
                </c:pt>
                <c:pt idx="10">
                  <c:v>-116986.77390880452</c:v>
                </c:pt>
                <c:pt idx="11">
                  <c:v>-118274.98730291551</c:v>
                </c:pt>
                <c:pt idx="12">
                  <c:v>-119442.8005208477</c:v>
                </c:pt>
                <c:pt idx="13">
                  <c:v>-116998.499326091</c:v>
                </c:pt>
                <c:pt idx="14">
                  <c:v>-114782.64964086545</c:v>
                </c:pt>
                <c:pt idx="15">
                  <c:v>-112773.89972164657</c:v>
                </c:pt>
                <c:pt idx="16">
                  <c:v>-110952.893421054</c:v>
                </c:pt>
                <c:pt idx="17">
                  <c:v>-109302.08367362292</c:v>
                </c:pt>
                <c:pt idx="18">
                  <c:v>-107805.5634137388</c:v>
                </c:pt>
                <c:pt idx="19">
                  <c:v>-106448.91229647421</c:v>
                </c:pt>
                <c:pt idx="20">
                  <c:v>-105219.05774434283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13D-4F75-9CF6-7BB8E026D3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15388928"/>
        <c:axId val="164597120"/>
      </c:barChart>
      <c:lineChart>
        <c:grouping val="standard"/>
        <c:varyColors val="0"/>
        <c:ser>
          <c:idx val="0"/>
          <c:order val="0"/>
          <c:tx>
            <c:strRef>
              <c:f>FinaIndicators!$A$61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FinaIndicators!$E$61:$Y$61</c:f>
              <c:numCache>
                <c:formatCode>#,##0.00</c:formatCode>
                <c:ptCount val="21"/>
                <c:pt idx="0">
                  <c:v>94000</c:v>
                </c:pt>
                <c:pt idx="1">
                  <c:v>128391.88849652669</c:v>
                </c:pt>
                <c:pt idx="2">
                  <c:v>159569.41091594598</c:v>
                </c:pt>
                <c:pt idx="3">
                  <c:v>187832.99127477276</c:v>
                </c:pt>
                <c:pt idx="4">
                  <c:v>213454.97508585005</c:v>
                </c:pt>
                <c:pt idx="5">
                  <c:v>236682.25365709036</c:v>
                </c:pt>
                <c:pt idx="6">
                  <c:v>257738.64311561274</c:v>
                </c:pt>
                <c:pt idx="7">
                  <c:v>276827.04108135414</c:v>
                </c:pt>
                <c:pt idx="8">
                  <c:v>294131.38177168305</c:v>
                </c:pt>
                <c:pt idx="9">
                  <c:v>309818.40837624081</c:v>
                </c:pt>
                <c:pt idx="10">
                  <c:v>324039.27978046803</c:v>
                </c:pt>
                <c:pt idx="11">
                  <c:v>336931.0271200696</c:v>
                </c:pt>
                <c:pt idx="12">
                  <c:v>348617.87420165719</c:v>
                </c:pt>
                <c:pt idx="13">
                  <c:v>355709.46732534911</c:v>
                </c:pt>
                <c:pt idx="14">
                  <c:v>362138.25949899299</c:v>
                </c:pt>
                <c:pt idx="15">
                  <c:v>367966.19803001644</c:v>
                </c:pt>
                <c:pt idx="16">
                  <c:v>373249.44045005197</c:v>
                </c:pt>
                <c:pt idx="17">
                  <c:v>378038.89564424753</c:v>
                </c:pt>
                <c:pt idx="18">
                  <c:v>382380.71440505557</c:v>
                </c:pt>
                <c:pt idx="19">
                  <c:v>386316.73413743573</c:v>
                </c:pt>
                <c:pt idx="20">
                  <c:v>389884.88200061437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13D-4F75-9CF6-7BB8E026D310}"/>
            </c:ext>
          </c:extLst>
        </c:ser>
        <c:ser>
          <c:idx val="1"/>
          <c:order val="1"/>
          <c:tx>
            <c:strRef>
              <c:f>FinaIndicators!$A$62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FinaIndicators!$E$62:$Y$62</c:f>
              <c:numCache>
                <c:formatCode>#,##0.00</c:formatCode>
                <c:ptCount val="21"/>
                <c:pt idx="1">
                  <c:v>30955.264256001661</c:v>
                </c:pt>
                <c:pt idx="2">
                  <c:v>59017.359346767298</c:v>
                </c:pt>
                <c:pt idx="3">
                  <c:v>84456.689289831658</c:v>
                </c:pt>
                <c:pt idx="4">
                  <c:v>107518.38535560583</c:v>
                </c:pt>
                <c:pt idx="5">
                  <c:v>128424.66813193905</c:v>
                </c:pt>
                <c:pt idx="6">
                  <c:v>147376.98882324612</c:v>
                </c:pt>
                <c:pt idx="7">
                  <c:v>164557.97041758124</c:v>
                </c:pt>
                <c:pt idx="8">
                  <c:v>180133.16742658266</c:v>
                </c:pt>
                <c:pt idx="9">
                  <c:v>194252.66115499643</c:v>
                </c:pt>
                <c:pt idx="10">
                  <c:v>207052.50587166351</c:v>
                </c:pt>
                <c:pt idx="11">
                  <c:v>218656.03981715409</c:v>
                </c:pt>
                <c:pt idx="12">
                  <c:v>229175.0736808095</c:v>
                </c:pt>
                <c:pt idx="13">
                  <c:v>238710.96799925811</c:v>
                </c:pt>
                <c:pt idx="14">
                  <c:v>247355.60985812754</c:v>
                </c:pt>
                <c:pt idx="15">
                  <c:v>255192.29830836988</c:v>
                </c:pt>
                <c:pt idx="16">
                  <c:v>262296.54702899797</c:v>
                </c:pt>
                <c:pt idx="17">
                  <c:v>268736.81197062461</c:v>
                </c:pt>
                <c:pt idx="18">
                  <c:v>274575.15099131677</c:v>
                </c:pt>
                <c:pt idx="19">
                  <c:v>279867.82184096152</c:v>
                </c:pt>
                <c:pt idx="20">
                  <c:v>284665.82425627153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13D-4F75-9CF6-7BB8E026D3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15388928"/>
        <c:axId val="164597120"/>
      </c:lineChart>
      <c:catAx>
        <c:axId val="1153889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597120"/>
        <c:crosses val="autoZero"/>
        <c:auto val="1"/>
        <c:lblAlgn val="ctr"/>
        <c:lblOffset val="100"/>
        <c:noMultiLvlLbl val="0"/>
      </c:catAx>
      <c:valAx>
        <c:axId val="16459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388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'FinInd+CO2'!$A$59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'FinInd+CO2'!$E$59:$Y$59</c:f>
              <c:numCache>
                <c:formatCode>#,##0.00</c:formatCode>
                <c:ptCount val="21"/>
                <c:pt idx="1">
                  <c:v>-101891.12991790642</c:v>
                </c:pt>
                <c:pt idx="2">
                  <c:v>-109044.73184805119</c:v>
                </c:pt>
                <c:pt idx="3">
                  <c:v>-115529.73730447487</c:v>
                </c:pt>
                <c:pt idx="4">
                  <c:v>-121408.63526112895</c:v>
                </c:pt>
                <c:pt idx="5">
                  <c:v>-126738.07429043879</c:v>
                </c:pt>
                <c:pt idx="6">
                  <c:v>-131569.40842424234</c:v>
                </c:pt>
                <c:pt idx="7">
                  <c:v>-135949.19199697569</c:v>
                </c:pt>
                <c:pt idx="8">
                  <c:v>-139919.62823937309</c:v>
                </c:pt>
                <c:pt idx="9">
                  <c:v>-143518.97594529277</c:v>
                </c:pt>
                <c:pt idx="10">
                  <c:v>-146781.91813027719</c:v>
                </c:pt>
                <c:pt idx="11">
                  <c:v>-149739.89623420985</c:v>
                </c:pt>
                <c:pt idx="12">
                  <c:v>-152421.41308841886</c:v>
                </c:pt>
                <c:pt idx="13">
                  <c:v>-151349.34037890931</c:v>
                </c:pt>
                <c:pt idx="14">
                  <c:v>-150377.46670761157</c:v>
                </c:pt>
                <c:pt idx="15">
                  <c:v>-149496.42718055018</c:v>
                </c:pt>
                <c:pt idx="16">
                  <c:v>-148697.73217401907</c:v>
                </c:pt>
                <c:pt idx="17">
                  <c:v>-147973.68552927265</c:v>
                </c:pt>
                <c:pt idx="18">
                  <c:v>-147317.31039297953</c:v>
                </c:pt>
                <c:pt idx="19">
                  <c:v>-146722.28198884305</c:v>
                </c:pt>
                <c:pt idx="20">
                  <c:v>-146182.86667258234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FAF-43E7-A505-D7382A2B1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15406336"/>
        <c:axId val="164601152"/>
      </c:barChart>
      <c:lineChart>
        <c:grouping val="standard"/>
        <c:varyColors val="0"/>
        <c:ser>
          <c:idx val="0"/>
          <c:order val="0"/>
          <c:tx>
            <c:strRef>
              <c:f>'FinInd+CO2'!$A$62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'FinInd+CO2'!$E$62:$Y$62</c:f>
              <c:numCache>
                <c:formatCode>#,##0.00</c:formatCode>
                <c:ptCount val="21"/>
                <c:pt idx="0">
                  <c:v>94000</c:v>
                </c:pt>
                <c:pt idx="1">
                  <c:v>128391.88849652669</c:v>
                </c:pt>
                <c:pt idx="2">
                  <c:v>159569.41091594598</c:v>
                </c:pt>
                <c:pt idx="3">
                  <c:v>187832.99127477276</c:v>
                </c:pt>
                <c:pt idx="4">
                  <c:v>213454.97508585005</c:v>
                </c:pt>
                <c:pt idx="5">
                  <c:v>236682.25365709036</c:v>
                </c:pt>
                <c:pt idx="6">
                  <c:v>257738.64311561274</c:v>
                </c:pt>
                <c:pt idx="7">
                  <c:v>276827.04108135414</c:v>
                </c:pt>
                <c:pt idx="8">
                  <c:v>294131.38177168305</c:v>
                </c:pt>
                <c:pt idx="9">
                  <c:v>309818.40837624081</c:v>
                </c:pt>
                <c:pt idx="10">
                  <c:v>324039.27978046803</c:v>
                </c:pt>
                <c:pt idx="11">
                  <c:v>336931.0271200696</c:v>
                </c:pt>
                <c:pt idx="12">
                  <c:v>348617.87420165719</c:v>
                </c:pt>
                <c:pt idx="13">
                  <c:v>355709.46732534911</c:v>
                </c:pt>
                <c:pt idx="14">
                  <c:v>362138.25949899299</c:v>
                </c:pt>
                <c:pt idx="15">
                  <c:v>367966.19803001644</c:v>
                </c:pt>
                <c:pt idx="16">
                  <c:v>373249.44045005197</c:v>
                </c:pt>
                <c:pt idx="17">
                  <c:v>378038.89564424753</c:v>
                </c:pt>
                <c:pt idx="18">
                  <c:v>382380.71440505557</c:v>
                </c:pt>
                <c:pt idx="19">
                  <c:v>386316.73413743573</c:v>
                </c:pt>
                <c:pt idx="20">
                  <c:v>389884.88200061437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FAF-43E7-A505-D7382A2B14A1}"/>
            </c:ext>
          </c:extLst>
        </c:ser>
        <c:ser>
          <c:idx val="1"/>
          <c:order val="1"/>
          <c:tx>
            <c:strRef>
              <c:f>'FinInd+CO2'!$A$63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'FinInd+CO2'!$E$63:$Y$63</c:f>
              <c:numCache>
                <c:formatCode>#,##0.00</c:formatCode>
                <c:ptCount val="21"/>
                <c:pt idx="1">
                  <c:v>26500.758578620269</c:v>
                </c:pt>
                <c:pt idx="2">
                  <c:v>50524.67906789478</c:v>
                </c:pt>
                <c:pt idx="3">
                  <c:v>72303.253970297897</c:v>
                </c:pt>
                <c:pt idx="4">
                  <c:v>92046.339824721101</c:v>
                </c:pt>
                <c:pt idx="5">
                  <c:v>109944.17936665157</c:v>
                </c:pt>
                <c:pt idx="6">
                  <c:v>126169.23469137041</c:v>
                </c:pt>
                <c:pt idx="7">
                  <c:v>140877.84908437845</c:v>
                </c:pt>
                <c:pt idx="8">
                  <c:v>154211.75353230996</c:v>
                </c:pt>
                <c:pt idx="9">
                  <c:v>166299.43243094804</c:v>
                </c:pt>
                <c:pt idx="10">
                  <c:v>177257.36165019084</c:v>
                </c:pt>
                <c:pt idx="11">
                  <c:v>187191.13088585975</c:v>
                </c:pt>
                <c:pt idx="12">
                  <c:v>196196.46111323833</c:v>
                </c:pt>
                <c:pt idx="13">
                  <c:v>204360.12694643979</c:v>
                </c:pt>
                <c:pt idx="14">
                  <c:v>211760.79279138142</c:v>
                </c:pt>
                <c:pt idx="15">
                  <c:v>218469.77084946627</c:v>
                </c:pt>
                <c:pt idx="16">
                  <c:v>224551.70827603291</c:v>
                </c:pt>
                <c:pt idx="17">
                  <c:v>230065.21011497488</c:v>
                </c:pt>
                <c:pt idx="18">
                  <c:v>235063.40401207603</c:v>
                </c:pt>
                <c:pt idx="19">
                  <c:v>239594.45214859268</c:v>
                </c:pt>
                <c:pt idx="20">
                  <c:v>243702.01532803202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FAF-43E7-A505-D7382A2B1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15406336"/>
        <c:axId val="164601152"/>
      </c:lineChart>
      <c:catAx>
        <c:axId val="1154063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601152"/>
        <c:crosses val="autoZero"/>
        <c:auto val="1"/>
        <c:lblAlgn val="ctr"/>
        <c:lblOffset val="100"/>
        <c:noMultiLvlLbl val="0"/>
      </c:catAx>
      <c:valAx>
        <c:axId val="16460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406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Kretanje NPV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Osetljivost!$A$15</c:f>
              <c:strCache>
                <c:ptCount val="1"/>
                <c:pt idx="0">
                  <c:v>Cena električne energije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Osetljivost!$A$16:$A$17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Osetljivost!$B$16:$B$17</c:f>
              <c:numCache>
                <c:formatCode>#.##000_ ;[Red]\-#.##000\ </c:formatCode>
                <c:ptCount val="2"/>
                <c:pt idx="0">
                  <c:v>39841.889975865706</c:v>
                </c:pt>
                <c:pt idx="1">
                  <c:v>57796.561026204443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EA1-4A01-BA88-8E2A95FCFE13}"/>
            </c:ext>
          </c:extLst>
        </c:ser>
        <c:ser>
          <c:idx val="1"/>
          <c:order val="1"/>
          <c:tx>
            <c:strRef>
              <c:f>Osetljivost!$A$20</c:f>
              <c:strCache>
                <c:ptCount val="1"/>
                <c:pt idx="0">
                  <c:v>Cena toplote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Osetljivost!$B$21:$B$22</c:f>
              <c:numCache>
                <c:formatCode>#.##000_ ;[Red]\-#.##000\ </c:formatCode>
                <c:ptCount val="2"/>
                <c:pt idx="0">
                  <c:v>70866.213959646295</c:v>
                </c:pt>
                <c:pt idx="1">
                  <c:v>26772.237042423822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EA1-4A01-BA88-8E2A95FCFE13}"/>
            </c:ext>
          </c:extLst>
        </c:ser>
        <c:ser>
          <c:idx val="2"/>
          <c:order val="2"/>
          <c:tx>
            <c:strRef>
              <c:f>Osetljivost!$A$25</c:f>
              <c:strCache>
                <c:ptCount val="1"/>
                <c:pt idx="0">
                  <c:v>Koeficijent performanse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Osetljivost!$B$26:$B$27</c:f>
              <c:numCache>
                <c:formatCode>#.##000_ ;[Red]\-#.##000\ </c:formatCode>
                <c:ptCount val="2"/>
                <c:pt idx="0">
                  <c:v>56375.905236026098</c:v>
                </c:pt>
                <c:pt idx="1">
                  <c:v>39583.28360271272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EA1-4A01-BA88-8E2A95FCFE13}"/>
            </c:ext>
          </c:extLst>
        </c:ser>
        <c:ser>
          <c:idx val="3"/>
          <c:order val="3"/>
          <c:tx>
            <c:strRef>
              <c:f>Osetljivost!$A$30</c:f>
              <c:strCache>
                <c:ptCount val="1"/>
                <c:pt idx="0">
                  <c:v>Investicije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Osetljivost!$B$31:$B$32</c:f>
              <c:numCache>
                <c:formatCode>#.##000_ ;[Red]\-#.##000\ </c:formatCode>
                <c:ptCount val="2"/>
                <c:pt idx="0">
                  <c:v>38370.278318685268</c:v>
                </c:pt>
                <c:pt idx="1">
                  <c:v>60048.877663375984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EA1-4A01-BA88-8E2A95FCFE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513728"/>
        <c:axId val="167679040"/>
      </c:lineChart>
      <c:catAx>
        <c:axId val="16551372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679040"/>
        <c:crosses val="autoZero"/>
        <c:auto val="1"/>
        <c:lblAlgn val="ctr"/>
        <c:lblOffset val="100"/>
        <c:noMultiLvlLbl val="0"/>
      </c:catAx>
      <c:valAx>
        <c:axId val="167679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.##000_ ;[Red]\-#.##0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513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7097856"/>
        <c:axId val="172075840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[2]FinaIndikatori!$A$37</c15:sqref>
                        </c15:formulaRef>
                      </c:ext>
                    </c:extLst>
                    <c:strCache>
                      <c:ptCount val="1"/>
                      <c:pt idx="0">
                        <c:v>Dobit nakon oporezivanja (EUR/a)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3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3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3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val>
                  <c:numRef>
                    <c:extLst>
                      <c:ext uri="{02D57815-91ED-43cb-92C2-25804820EDAC}">
                        <c15:formulaRef>
                          <c15:sqref>[2]FinaIndikatori!$E$37:$Y$37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1">
                        <c:v>6520.0732439661178</c:v>
                      </c:pt>
                      <c:pt idx="2">
                        <c:v>7747.4209373872764</c:v>
                      </c:pt>
                      <c:pt idx="3">
                        <c:v>9122.0503540189729</c:v>
                      </c:pt>
                      <c:pt idx="4">
                        <c:v>10661.635300646474</c:v>
                      </c:pt>
                      <c:pt idx="5">
                        <c:v>12385.970440869276</c:v>
                      </c:pt>
                      <c:pt idx="6">
                        <c:v>14317.225797918811</c:v>
                      </c:pt>
                      <c:pt idx="7">
                        <c:v>16480.231797814289</c:v>
                      </c:pt>
                      <c:pt idx="8">
                        <c:v>18902.798517697232</c:v>
                      </c:pt>
                      <c:pt idx="9">
                        <c:v>21616.073243966122</c:v>
                      </c:pt>
                      <c:pt idx="10">
                        <c:v>21616.073243966122</c:v>
                      </c:pt>
                      <c:pt idx="11">
                        <c:v>21616.073243966122</c:v>
                      </c:pt>
                      <c:pt idx="12">
                        <c:v>21616.073243966122</c:v>
                      </c:pt>
                      <c:pt idx="13">
                        <c:v>21616.073243966122</c:v>
                      </c:pt>
                      <c:pt idx="14">
                        <c:v>21616.073243966122</c:v>
                      </c:pt>
                      <c:pt idx="15">
                        <c:v>21616.073243966122</c:v>
                      </c:pt>
                      <c:pt idx="16">
                        <c:v>21616.073243966122</c:v>
                      </c:pt>
                      <c:pt idx="17">
                        <c:v>21616.073243966122</c:v>
                      </c:pt>
                      <c:pt idx="18">
                        <c:v>21616.073243966122</c:v>
                      </c:pt>
                      <c:pt idx="19">
                        <c:v>21616.073243966122</c:v>
                      </c:pt>
                      <c:pt idx="20">
                        <c:v>21616.073243966122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EFCF-4ED9-B869-DCAD9E836610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0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FCF-4ED9-B869-DCAD9E836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7097856"/>
        <c:axId val="172075840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[2]FinaIndikatori!$A$39</c15:sqref>
                        </c15:formulaRef>
                      </c:ext>
                    </c:extLst>
                    <c:strCache>
                      <c:ptCount val="1"/>
                      <c:pt idx="0">
                        <c:v>Neto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1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[2]FinaIndikatori!$E$3:$Y$3</c15:sqref>
                        </c15:formulaRef>
                      </c:ext>
                    </c:extLst>
                    <c:numCache>
                      <c:formatCode>General</c:formatCode>
                      <c:ptCount val="21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[2]FinaIndikatori!$E$39:$Y$39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6637.2527202292758</c:v>
                      </c:pt>
                      <c:pt idx="2">
                        <c:v>6420.6619508020121</c:v>
                      </c:pt>
                      <c:pt idx="3">
                        <c:v>6178.080289043477</c:v>
                      </c:pt>
                      <c:pt idx="4">
                        <c:v>5906.3888278739178</c:v>
                      </c:pt>
                      <c:pt idx="5">
                        <c:v>5602.0943913640131</c:v>
                      </c:pt>
                      <c:pt idx="6">
                        <c:v>5261.2846224729183</c:v>
                      </c:pt>
                      <c:pt idx="7">
                        <c:v>4879.5776813148914</c:v>
                      </c:pt>
                      <c:pt idx="8">
                        <c:v>4452.0659072179042</c:v>
                      </c:pt>
                      <c:pt idx="9">
                        <c:v>33766.073243966122</c:v>
                      </c:pt>
                      <c:pt idx="10">
                        <c:v>33766.073243966122</c:v>
                      </c:pt>
                      <c:pt idx="11">
                        <c:v>33766.073243966122</c:v>
                      </c:pt>
                      <c:pt idx="12">
                        <c:v>33766.073243966122</c:v>
                      </c:pt>
                      <c:pt idx="13">
                        <c:v>33766.073243966122</c:v>
                      </c:pt>
                      <c:pt idx="14">
                        <c:v>33766.073243966122</c:v>
                      </c:pt>
                      <c:pt idx="15">
                        <c:v>33766.073243966122</c:v>
                      </c:pt>
                      <c:pt idx="16">
                        <c:v>33766.073243966122</c:v>
                      </c:pt>
                      <c:pt idx="17">
                        <c:v>33766.073243966122</c:v>
                      </c:pt>
                      <c:pt idx="18">
                        <c:v>33766.073243966122</c:v>
                      </c:pt>
                      <c:pt idx="19">
                        <c:v>33766.073243966122</c:v>
                      </c:pt>
                      <c:pt idx="20">
                        <c:v>33766.073243966122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EFCF-4ED9-B869-DCAD9E836610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[2]FinaIndikatori!$A$40</c15:sqref>
                        </c15:formulaRef>
                      </c:ext>
                    </c:extLst>
                    <c:strCache>
                      <c:ptCount val="1"/>
                      <c:pt idx="0">
                        <c:v>Kumulativni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2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[2]FinaIndikatori!$E$40:$Y$40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-236362.74727977073</c:v>
                      </c:pt>
                      <c:pt idx="2">
                        <c:v>-229942.08532896871</c:v>
                      </c:pt>
                      <c:pt idx="3">
                        <c:v>-223764.00503992522</c:v>
                      </c:pt>
                      <c:pt idx="4">
                        <c:v>-217857.6162120513</c:v>
                      </c:pt>
                      <c:pt idx="5">
                        <c:v>-212255.52182068728</c:v>
                      </c:pt>
                      <c:pt idx="6">
                        <c:v>-206994.23719821437</c:v>
                      </c:pt>
                      <c:pt idx="7">
                        <c:v>-202114.65951689947</c:v>
                      </c:pt>
                      <c:pt idx="8">
                        <c:v>-197662.59360968156</c:v>
                      </c:pt>
                      <c:pt idx="9">
                        <c:v>-163896.52036571543</c:v>
                      </c:pt>
                      <c:pt idx="10">
                        <c:v>-130130.44712174931</c:v>
                      </c:pt>
                      <c:pt idx="11">
                        <c:v>-96364.37387778319</c:v>
                      </c:pt>
                      <c:pt idx="12">
                        <c:v>-62598.300633817067</c:v>
                      </c:pt>
                      <c:pt idx="13">
                        <c:v>-28832.227389850945</c:v>
                      </c:pt>
                      <c:pt idx="14">
                        <c:v>4933.8458541151776</c:v>
                      </c:pt>
                      <c:pt idx="15">
                        <c:v>38699.9190980813</c:v>
                      </c:pt>
                      <c:pt idx="16">
                        <c:v>72465.992342047422</c:v>
                      </c:pt>
                      <c:pt idx="17">
                        <c:v>106232.06558601354</c:v>
                      </c:pt>
                      <c:pt idx="18">
                        <c:v>139998.13882997967</c:v>
                      </c:pt>
                      <c:pt idx="19">
                        <c:v>173764.21207394579</c:v>
                      </c:pt>
                      <c:pt idx="20">
                        <c:v>207530.28531791191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EFCF-4ED9-B869-DCAD9E836610}"/>
                  </c:ext>
                </c:extLst>
              </c15:ser>
            </c15:filteredLineSeries>
          </c:ext>
        </c:extLst>
      </c:lineChart>
      <c:catAx>
        <c:axId val="167097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075840"/>
        <c:crosses val="autoZero"/>
        <c:auto val="1"/>
        <c:lblAlgn val="ctr"/>
        <c:lblOffset val="100"/>
        <c:noMultiLvlLbl val="0"/>
      </c:catAx>
      <c:valAx>
        <c:axId val="172075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097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CheckBox" checked="Checked" fmlaLink="$L$22" lockText="1"/>
</file>

<file path=xl/ctrlProps/ctrlProp2.xml><?xml version="1.0" encoding="utf-8"?>
<formControlPr xmlns="http://schemas.microsoft.com/office/spreadsheetml/2009/9/main" objectType="CheckBox" checked="Checked" fmlaLink="$L$22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4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A1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66675</xdr:rowOff>
    </xdr:from>
    <xdr:to>
      <xdr:col>4</xdr:col>
      <xdr:colOff>88900</xdr:colOff>
      <xdr:row>5</xdr:row>
      <xdr:rowOff>18598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666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561975</xdr:colOff>
      <xdr:row>1</xdr:row>
      <xdr:rowOff>38100</xdr:rowOff>
    </xdr:from>
    <xdr:to>
      <xdr:col>10</xdr:col>
      <xdr:colOff>531495</xdr:colOff>
      <xdr:row>4</xdr:row>
      <xdr:rowOff>45720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8375" y="2286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13</xdr:row>
      <xdr:rowOff>0</xdr:rowOff>
    </xdr:from>
    <xdr:to>
      <xdr:col>2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333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28575</xdr:colOff>
      <xdr:row>0</xdr:row>
      <xdr:rowOff>66675</xdr:rowOff>
    </xdr:from>
    <xdr:to>
      <xdr:col>3</xdr:col>
      <xdr:colOff>498475</xdr:colOff>
      <xdr:row>5</xdr:row>
      <xdr:rowOff>18598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666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200025</xdr:colOff>
      <xdr:row>6</xdr:row>
      <xdr:rowOff>0</xdr:rowOff>
    </xdr:from>
    <xdr:to>
      <xdr:col>11</xdr:col>
      <xdr:colOff>638975</xdr:colOff>
      <xdr:row>8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20050" y="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34</xdr:row>
      <xdr:rowOff>0</xdr:rowOff>
    </xdr:from>
    <xdr:to>
      <xdr:col>2</xdr:col>
      <xdr:colOff>524675</xdr:colOff>
      <xdr:row>36</xdr:row>
      <xdr:rowOff>9178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04925" y="1866900"/>
          <a:ext cx="438950" cy="390178"/>
        </a:xfrm>
        <a:prstGeom prst="rect">
          <a:avLst/>
        </a:prstGeom>
      </xdr:spPr>
    </xdr:pic>
    <xdr:clientData fLocksWithSheet="0"/>
  </xdr:twoCellAnchor>
  <xdr:twoCellAnchor>
    <xdr:from>
      <xdr:col>7</xdr:col>
      <xdr:colOff>485775</xdr:colOff>
      <xdr:row>14</xdr:row>
      <xdr:rowOff>71437</xdr:rowOff>
    </xdr:from>
    <xdr:to>
      <xdr:col>15</xdr:col>
      <xdr:colOff>180975</xdr:colOff>
      <xdr:row>28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565150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504825</xdr:colOff>
      <xdr:row>1</xdr:row>
      <xdr:rowOff>28575</xdr:rowOff>
    </xdr:from>
    <xdr:to>
      <xdr:col>11</xdr:col>
      <xdr:colOff>474345</xdr:colOff>
      <xdr:row>4</xdr:row>
      <xdr:rowOff>36195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21907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114300</xdr:colOff>
      <xdr:row>6</xdr:row>
      <xdr:rowOff>57150</xdr:rowOff>
    </xdr:from>
    <xdr:to>
      <xdr:col>11</xdr:col>
      <xdr:colOff>553250</xdr:colOff>
      <xdr:row>7</xdr:row>
      <xdr:rowOff>180628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19900" y="571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361950</xdr:colOff>
      <xdr:row>0</xdr:row>
      <xdr:rowOff>95250</xdr:rowOff>
    </xdr:from>
    <xdr:to>
      <xdr:col>4</xdr:col>
      <xdr:colOff>222250</xdr:colOff>
      <xdr:row>5</xdr:row>
      <xdr:rowOff>47173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9525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9</xdr:row>
      <xdr:rowOff>9525</xdr:rowOff>
    </xdr:from>
    <xdr:to>
      <xdr:col>16</xdr:col>
      <xdr:colOff>581025</xdr:colOff>
      <xdr:row>29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95250</xdr:colOff>
      <xdr:row>10</xdr:row>
      <xdr:rowOff>0</xdr:rowOff>
    </xdr:from>
    <xdr:to>
      <xdr:col>2</xdr:col>
      <xdr:colOff>534200</xdr:colOff>
      <xdr:row>12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14450" y="762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476250</xdr:colOff>
      <xdr:row>0</xdr:row>
      <xdr:rowOff>114300</xdr:rowOff>
    </xdr:from>
    <xdr:to>
      <xdr:col>4</xdr:col>
      <xdr:colOff>336550</xdr:colOff>
      <xdr:row>5</xdr:row>
      <xdr:rowOff>66223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1430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534200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47625</xdr:colOff>
      <xdr:row>0</xdr:row>
      <xdr:rowOff>95250</xdr:rowOff>
    </xdr:from>
    <xdr:to>
      <xdr:col>3</xdr:col>
      <xdr:colOff>517525</xdr:colOff>
      <xdr:row>5</xdr:row>
      <xdr:rowOff>47173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25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6212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5" name="Picture 4" descr="USAID_Horiz_Serbian_RGB_2-Color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19050</xdr:colOff>
      <xdr:row>0</xdr:row>
      <xdr:rowOff>152400</xdr:rowOff>
    </xdr:from>
    <xdr:to>
      <xdr:col>8</xdr:col>
      <xdr:colOff>598170</xdr:colOff>
      <xdr:row>3</xdr:row>
      <xdr:rowOff>160020</xdr:rowOff>
    </xdr:to>
    <xdr:pic>
      <xdr:nvPicPr>
        <xdr:cNvPr id="6" name="Picture 5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38850" y="1524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104775</xdr:rowOff>
    </xdr:from>
    <xdr:to>
      <xdr:col>2</xdr:col>
      <xdr:colOff>1746250</xdr:colOff>
      <xdr:row>5</xdr:row>
      <xdr:rowOff>56698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1047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47625</xdr:rowOff>
    </xdr:from>
    <xdr:to>
      <xdr:col>8</xdr:col>
      <xdr:colOff>579120</xdr:colOff>
      <xdr:row>4</xdr:row>
      <xdr:rowOff>55245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23812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390525</xdr:colOff>
      <xdr:row>13</xdr:row>
      <xdr:rowOff>0</xdr:rowOff>
    </xdr:from>
    <xdr:to>
      <xdr:col>15</xdr:col>
      <xdr:colOff>219875</xdr:colOff>
      <xdr:row>15</xdr:row>
      <xdr:rowOff>9178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25225" y="1524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371475</xdr:colOff>
      <xdr:row>0</xdr:row>
      <xdr:rowOff>47625</xdr:rowOff>
    </xdr:from>
    <xdr:to>
      <xdr:col>4</xdr:col>
      <xdr:colOff>231775</xdr:colOff>
      <xdr:row>4</xdr:row>
      <xdr:rowOff>190048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4762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80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21</xdr:row>
          <xdr:rowOff>9525</xdr:rowOff>
        </xdr:from>
        <xdr:to>
          <xdr:col>9</xdr:col>
          <xdr:colOff>923925</xdr:colOff>
          <xdr:row>22</xdr:row>
          <xdr:rowOff>9525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xdr:twoCellAnchor editAs="oneCell">
    <xdr:from>
      <xdr:col>15</xdr:col>
      <xdr:colOff>95250</xdr:colOff>
      <xdr:row>11</xdr:row>
      <xdr:rowOff>0</xdr:rowOff>
    </xdr:from>
    <xdr:to>
      <xdr:col>15</xdr:col>
      <xdr:colOff>534200</xdr:colOff>
      <xdr:row>13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20100" y="1219200"/>
          <a:ext cx="438950" cy="390178"/>
        </a:xfrm>
        <a:prstGeom prst="rect">
          <a:avLst/>
        </a:prstGeom>
      </xdr:spPr>
    </xdr:pic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21</xdr:row>
          <xdr:rowOff>9525</xdr:rowOff>
        </xdr:from>
        <xdr:to>
          <xdr:col>9</xdr:col>
          <xdr:colOff>923925</xdr:colOff>
          <xdr:row>22</xdr:row>
          <xdr:rowOff>9525</xdr:rowOff>
        </xdr:to>
        <xdr:sp macro="" textlink="">
          <xdr:nvSpPr>
            <xdr:cNvPr id="8198" name="Check Box 6" hidden="1">
              <a:extLst>
                <a:ext uri="{63B3BB69-23CF-44E3-9099-C40C66FF867C}">
                  <a14:compatExt spid="_x0000_s81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xdr:twoCellAnchor editAs="oneCell">
    <xdr:from>
      <xdr:col>0</xdr:col>
      <xdr:colOff>390525</xdr:colOff>
      <xdr:row>0</xdr:row>
      <xdr:rowOff>76200</xdr:rowOff>
    </xdr:from>
    <xdr:to>
      <xdr:col>4</xdr:col>
      <xdr:colOff>250825</xdr:colOff>
      <xdr:row>5</xdr:row>
      <xdr:rowOff>28123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7620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13</xdr:col>
      <xdr:colOff>76200</xdr:colOff>
      <xdr:row>0</xdr:row>
      <xdr:rowOff>76200</xdr:rowOff>
    </xdr:from>
    <xdr:to>
      <xdr:col>14</xdr:col>
      <xdr:colOff>45720</xdr:colOff>
      <xdr:row>3</xdr:row>
      <xdr:rowOff>83820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1850" y="762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11</xdr:row>
      <xdr:rowOff>0</xdr:rowOff>
    </xdr:from>
    <xdr:to>
      <xdr:col>10</xdr:col>
      <xdr:colOff>534200</xdr:colOff>
      <xdr:row>13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01200" y="1219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428625</xdr:colOff>
      <xdr:row>0</xdr:row>
      <xdr:rowOff>114300</xdr:rowOff>
    </xdr:from>
    <xdr:to>
      <xdr:col>2</xdr:col>
      <xdr:colOff>1508125</xdr:colOff>
      <xdr:row>5</xdr:row>
      <xdr:rowOff>66223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1430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963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250028</xdr:colOff>
      <xdr:row>6</xdr:row>
      <xdr:rowOff>0</xdr:rowOff>
    </xdr:from>
    <xdr:to>
      <xdr:col>11</xdr:col>
      <xdr:colOff>688978</xdr:colOff>
      <xdr:row>7</xdr:row>
      <xdr:rowOff>128241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55903" y="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452438</xdr:colOff>
      <xdr:row>0</xdr:row>
      <xdr:rowOff>95250</xdr:rowOff>
    </xdr:from>
    <xdr:to>
      <xdr:col>4</xdr:col>
      <xdr:colOff>119857</xdr:colOff>
      <xdr:row>5</xdr:row>
      <xdr:rowOff>42410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8" y="9525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238120</xdr:colOff>
      <xdr:row>6</xdr:row>
      <xdr:rowOff>23812</xdr:rowOff>
    </xdr:from>
    <xdr:to>
      <xdr:col>11</xdr:col>
      <xdr:colOff>677070</xdr:colOff>
      <xdr:row>7</xdr:row>
      <xdr:rowOff>152053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13026" y="23812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71437</xdr:colOff>
      <xdr:row>0</xdr:row>
      <xdr:rowOff>107157</xdr:rowOff>
    </xdr:from>
    <xdr:to>
      <xdr:col>3</xdr:col>
      <xdr:colOff>548481</xdr:colOff>
      <xdr:row>5</xdr:row>
      <xdr:rowOff>54317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" y="107157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60531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13</xdr:row>
      <xdr:rowOff>0</xdr:rowOff>
    </xdr:from>
    <xdr:to>
      <xdr:col>2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333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47625</xdr:colOff>
      <xdr:row>0</xdr:row>
      <xdr:rowOff>104775</xdr:rowOff>
    </xdr:from>
    <xdr:to>
      <xdr:col>3</xdr:col>
      <xdr:colOff>517525</xdr:colOff>
      <xdr:row>5</xdr:row>
      <xdr:rowOff>56698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047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85725</xdr:rowOff>
    </xdr:from>
    <xdr:to>
      <xdr:col>10</xdr:col>
      <xdr:colOff>579120</xdr:colOff>
      <xdr:row>4</xdr:row>
      <xdr:rowOff>93345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276225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oplotna%20pumpa%20velikog%20kapacite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Kotao%20na%20biomas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cetna"/>
      <sheetName val="KonvFaktor"/>
      <sheetName val="PomTab1"/>
      <sheetName val="UnosPodataka"/>
      <sheetName val="EnergyCosts"/>
      <sheetName val="Annuity"/>
      <sheetName val="FinaIndicators"/>
      <sheetName val="FinInd+CO2"/>
      <sheetName val="GraphFina"/>
      <sheetName val="Graf+CO2"/>
      <sheetName val="LCoEE"/>
      <sheetName val="Osetljivost"/>
      <sheetName val="AkoESCO"/>
      <sheetName val="ESCOGrafFina"/>
      <sheetName val="REZIME"/>
      <sheetName val="Goriv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cetna"/>
      <sheetName val="KonvFaktor"/>
      <sheetName val="PomTab1"/>
      <sheetName val="UnosPodataka"/>
      <sheetName val="TrosakEnergije"/>
      <sheetName val="Anuiteti"/>
      <sheetName val="FinaIndikatori"/>
      <sheetName val="FinInd+CO2"/>
      <sheetName val="GrafFina"/>
      <sheetName val="Graf+CO2"/>
      <sheetName val="LCoEE"/>
      <sheetName val="Osetljivost"/>
      <sheetName val="AkoESCO"/>
      <sheetName val="ESCOGrafFina"/>
      <sheetName val="REZIME"/>
      <sheetName val="Gorivo"/>
    </sheetNames>
    <sheetDataSet>
      <sheetData sheetId="0"/>
      <sheetData sheetId="1"/>
      <sheetData sheetId="2"/>
      <sheetData sheetId="3"/>
      <sheetData sheetId="4"/>
      <sheetData sheetId="5"/>
      <sheetData sheetId="6">
        <row r="37">
          <cell r="A37" t="str">
            <v>Dobit nakon oporezivanja (EUR/a)</v>
          </cell>
          <cell r="F37">
            <v>6520.0732439661178</v>
          </cell>
          <cell r="G37">
            <v>7747.4209373872764</v>
          </cell>
          <cell r="H37">
            <v>9122.0503540189729</v>
          </cell>
          <cell r="I37">
            <v>10661.635300646474</v>
          </cell>
          <cell r="J37">
            <v>12385.970440869276</v>
          </cell>
          <cell r="K37">
            <v>14317.225797918811</v>
          </cell>
          <cell r="L37">
            <v>16480.231797814289</v>
          </cell>
          <cell r="M37">
            <v>18902.798517697232</v>
          </cell>
          <cell r="N37">
            <v>21616.073243966122</v>
          </cell>
          <cell r="O37">
            <v>21616.073243966122</v>
          </cell>
          <cell r="P37">
            <v>21616.073243966122</v>
          </cell>
          <cell r="Q37">
            <v>21616.073243966122</v>
          </cell>
          <cell r="R37">
            <v>21616.073243966122</v>
          </cell>
          <cell r="S37">
            <v>21616.073243966122</v>
          </cell>
          <cell r="T37">
            <v>21616.073243966122</v>
          </cell>
          <cell r="U37">
            <v>21616.073243966122</v>
          </cell>
          <cell r="V37">
            <v>21616.073243966122</v>
          </cell>
          <cell r="W37">
            <v>21616.073243966122</v>
          </cell>
          <cell r="X37">
            <v>21616.073243966122</v>
          </cell>
          <cell r="Y37">
            <v>21616.073243966122</v>
          </cell>
        </row>
        <row r="39">
          <cell r="A39" t="str">
            <v>Neto gotovinski tok</v>
          </cell>
          <cell r="E39">
            <v>-243000</v>
          </cell>
          <cell r="F39">
            <v>6637.2527202292758</v>
          </cell>
          <cell r="G39">
            <v>6420.6619508020121</v>
          </cell>
          <cell r="H39">
            <v>6178.080289043477</v>
          </cell>
          <cell r="I39">
            <v>5906.3888278739178</v>
          </cell>
          <cell r="J39">
            <v>5602.0943913640131</v>
          </cell>
          <cell r="K39">
            <v>5261.2846224729183</v>
          </cell>
          <cell r="L39">
            <v>4879.5776813148914</v>
          </cell>
          <cell r="M39">
            <v>4452.0659072179042</v>
          </cell>
          <cell r="N39">
            <v>33766.073243966122</v>
          </cell>
          <cell r="O39">
            <v>33766.073243966122</v>
          </cell>
          <cell r="P39">
            <v>33766.073243966122</v>
          </cell>
          <cell r="Q39">
            <v>33766.073243966122</v>
          </cell>
          <cell r="R39">
            <v>33766.073243966122</v>
          </cell>
          <cell r="S39">
            <v>33766.073243966122</v>
          </cell>
          <cell r="T39">
            <v>33766.073243966122</v>
          </cell>
          <cell r="U39">
            <v>33766.073243966122</v>
          </cell>
          <cell r="V39">
            <v>33766.073243966122</v>
          </cell>
          <cell r="W39">
            <v>33766.073243966122</v>
          </cell>
          <cell r="X39">
            <v>33766.073243966122</v>
          </cell>
          <cell r="Y39">
            <v>33766.073243966122</v>
          </cell>
        </row>
        <row r="40">
          <cell r="A40" t="str">
            <v>Kumulativni gotovinski tok</v>
          </cell>
          <cell r="E40">
            <v>-243000</v>
          </cell>
          <cell r="F40">
            <v>-236362.74727977073</v>
          </cell>
          <cell r="G40">
            <v>-229942.08532896871</v>
          </cell>
          <cell r="H40">
            <v>-223764.00503992522</v>
          </cell>
          <cell r="I40">
            <v>-217857.6162120513</v>
          </cell>
          <cell r="J40">
            <v>-212255.52182068728</v>
          </cell>
          <cell r="K40">
            <v>-206994.23719821437</v>
          </cell>
          <cell r="L40">
            <v>-202114.65951689947</v>
          </cell>
          <cell r="M40">
            <v>-197662.59360968156</v>
          </cell>
          <cell r="N40">
            <v>-163896.52036571543</v>
          </cell>
          <cell r="O40">
            <v>-130130.44712174931</v>
          </cell>
          <cell r="P40">
            <v>-96364.37387778319</v>
          </cell>
          <cell r="Q40">
            <v>-62598.300633817067</v>
          </cell>
          <cell r="R40">
            <v>-28832.227389850945</v>
          </cell>
          <cell r="S40">
            <v>4933.8458541151776</v>
          </cell>
          <cell r="T40">
            <v>38699.9190980813</v>
          </cell>
          <cell r="U40">
            <v>72465.992342047422</v>
          </cell>
          <cell r="V40">
            <v>106232.06558601354</v>
          </cell>
          <cell r="W40">
            <v>139998.13882997967</v>
          </cell>
          <cell r="X40">
            <v>173764.21207394579</v>
          </cell>
          <cell r="Y40">
            <v>207530.28531791191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R24"/>
  <sheetViews>
    <sheetView workbookViewId="0"/>
  </sheetViews>
  <sheetFormatPr defaultRowHeight="15" x14ac:dyDescent="0.25"/>
  <sheetData>
    <row r="3" spans="2:18" ht="16.5" x14ac:dyDescent="0.35">
      <c r="F3" s="55" t="s">
        <v>191</v>
      </c>
      <c r="G3" s="55"/>
      <c r="H3" s="55"/>
      <c r="I3" s="55"/>
    </row>
    <row r="7" spans="2:18" x14ac:dyDescent="0.25">
      <c r="B7" s="56" t="s">
        <v>0</v>
      </c>
      <c r="C7" s="56"/>
      <c r="D7" s="56"/>
      <c r="E7" s="56"/>
      <c r="F7" s="56"/>
      <c r="G7" s="56"/>
      <c r="H7" s="56"/>
      <c r="I7" s="56"/>
      <c r="J7" s="56"/>
      <c r="K7" s="56"/>
    </row>
    <row r="8" spans="2:18" x14ac:dyDescent="0.25">
      <c r="B8" s="56"/>
      <c r="C8" s="56"/>
      <c r="D8" s="56"/>
      <c r="E8" s="56"/>
      <c r="F8" s="56"/>
      <c r="G8" s="56"/>
      <c r="H8" s="56"/>
      <c r="I8" s="56"/>
      <c r="J8" s="56"/>
      <c r="K8" s="56"/>
    </row>
    <row r="9" spans="2:18" x14ac:dyDescent="0.25">
      <c r="B9" s="56"/>
      <c r="C9" s="56"/>
      <c r="D9" s="56"/>
      <c r="E9" s="56"/>
      <c r="F9" s="56"/>
      <c r="G9" s="56"/>
      <c r="H9" s="56"/>
      <c r="I9" s="56"/>
      <c r="J9" s="56"/>
      <c r="K9" s="56"/>
      <c r="M9" s="57" t="s">
        <v>2</v>
      </c>
      <c r="N9" s="57"/>
      <c r="O9" s="57"/>
      <c r="P9" s="57"/>
      <c r="Q9" s="57"/>
      <c r="R9" s="57"/>
    </row>
    <row r="10" spans="2:18" x14ac:dyDescent="0.25">
      <c r="B10" s="56"/>
      <c r="C10" s="56"/>
      <c r="D10" s="56"/>
      <c r="E10" s="56"/>
      <c r="F10" s="56"/>
      <c r="G10" s="56"/>
      <c r="H10" s="56"/>
      <c r="I10" s="56"/>
      <c r="J10" s="56"/>
      <c r="K10" s="56"/>
      <c r="M10" s="57"/>
      <c r="N10" s="57"/>
      <c r="O10" s="57"/>
      <c r="P10" s="57"/>
      <c r="Q10" s="57"/>
      <c r="R10" s="57"/>
    </row>
    <row r="11" spans="2:18" x14ac:dyDescent="0.25">
      <c r="B11" s="56"/>
      <c r="C11" s="56"/>
      <c r="D11" s="56"/>
      <c r="E11" s="56"/>
      <c r="F11" s="56"/>
      <c r="G11" s="56"/>
      <c r="H11" s="56"/>
      <c r="I11" s="56"/>
      <c r="J11" s="56"/>
      <c r="K11" s="56"/>
    </row>
    <row r="12" spans="2:18" x14ac:dyDescent="0.25">
      <c r="B12" s="56"/>
      <c r="C12" s="56"/>
      <c r="D12" s="56"/>
      <c r="E12" s="56"/>
      <c r="F12" s="56"/>
      <c r="G12" s="56"/>
      <c r="H12" s="56"/>
      <c r="I12" s="56"/>
      <c r="J12" s="56"/>
      <c r="K12" s="56"/>
      <c r="M12" s="58" t="s">
        <v>47</v>
      </c>
      <c r="N12" s="58"/>
      <c r="O12" s="58"/>
      <c r="P12" s="58"/>
      <c r="Q12" s="58"/>
      <c r="R12" s="58"/>
    </row>
    <row r="13" spans="2:18" x14ac:dyDescent="0.25">
      <c r="B13" s="56"/>
      <c r="C13" s="56"/>
      <c r="D13" s="56"/>
      <c r="E13" s="56"/>
      <c r="F13" s="56"/>
      <c r="G13" s="56"/>
      <c r="H13" s="56"/>
      <c r="I13" s="56"/>
      <c r="J13" s="56"/>
      <c r="K13" s="56"/>
    </row>
    <row r="14" spans="2:18" x14ac:dyDescent="0.25">
      <c r="B14" s="56"/>
      <c r="C14" s="56"/>
      <c r="D14" s="56"/>
      <c r="E14" s="56"/>
      <c r="F14" s="56"/>
      <c r="G14" s="56"/>
      <c r="H14" s="56"/>
      <c r="I14" s="56"/>
      <c r="J14" s="56"/>
      <c r="K14" s="56"/>
      <c r="M14" s="59" t="s">
        <v>136</v>
      </c>
      <c r="N14" s="59"/>
      <c r="Q14" s="60" t="s">
        <v>137</v>
      </c>
      <c r="R14" s="60"/>
    </row>
    <row r="15" spans="2:18" x14ac:dyDescent="0.25">
      <c r="B15" s="56"/>
      <c r="C15" s="56"/>
      <c r="D15" s="56"/>
      <c r="E15" s="56"/>
      <c r="F15" s="56"/>
      <c r="G15" s="56"/>
      <c r="H15" s="56"/>
      <c r="I15" s="56"/>
      <c r="J15" s="56"/>
      <c r="K15" s="56"/>
      <c r="M15" s="59"/>
      <c r="N15" s="59"/>
      <c r="Q15" s="60"/>
      <c r="R15" s="60"/>
    </row>
    <row r="16" spans="2:18" x14ac:dyDescent="0.25">
      <c r="B16" s="56"/>
      <c r="C16" s="56"/>
      <c r="D16" s="56"/>
      <c r="E16" s="56"/>
      <c r="F16" s="56"/>
      <c r="G16" s="56"/>
      <c r="H16" s="56"/>
      <c r="I16" s="56"/>
      <c r="J16" s="56"/>
      <c r="K16" s="56"/>
    </row>
    <row r="17" spans="2:11" x14ac:dyDescent="0.25">
      <c r="B17" s="56"/>
      <c r="C17" s="56"/>
      <c r="D17" s="56"/>
      <c r="E17" s="56"/>
      <c r="F17" s="56"/>
      <c r="G17" s="56"/>
      <c r="H17" s="56"/>
      <c r="I17" s="56"/>
      <c r="J17" s="56"/>
      <c r="K17" s="56"/>
    </row>
    <row r="18" spans="2:11" x14ac:dyDescent="0.25">
      <c r="B18" s="56"/>
      <c r="C18" s="56"/>
      <c r="D18" s="56"/>
      <c r="E18" s="56"/>
      <c r="F18" s="56"/>
      <c r="G18" s="56"/>
      <c r="H18" s="56"/>
      <c r="I18" s="56"/>
      <c r="J18" s="56"/>
      <c r="K18" s="56"/>
    </row>
    <row r="19" spans="2:11" x14ac:dyDescent="0.25">
      <c r="B19" s="56"/>
      <c r="C19" s="56"/>
      <c r="D19" s="56"/>
      <c r="E19" s="56"/>
      <c r="F19" s="56"/>
      <c r="G19" s="56"/>
      <c r="H19" s="56"/>
      <c r="I19" s="56"/>
      <c r="J19" s="56"/>
      <c r="K19" s="56"/>
    </row>
    <row r="20" spans="2:11" x14ac:dyDescent="0.25">
      <c r="B20" s="56"/>
      <c r="C20" s="56"/>
      <c r="D20" s="56"/>
      <c r="E20" s="56"/>
      <c r="F20" s="56"/>
      <c r="G20" s="56"/>
      <c r="H20" s="56"/>
      <c r="I20" s="56"/>
      <c r="J20" s="56"/>
      <c r="K20" s="56"/>
    </row>
    <row r="21" spans="2:11" x14ac:dyDescent="0.25">
      <c r="B21" s="56"/>
      <c r="C21" s="56"/>
      <c r="D21" s="56"/>
      <c r="E21" s="56"/>
      <c r="F21" s="56"/>
      <c r="G21" s="56"/>
      <c r="H21" s="56"/>
      <c r="I21" s="56"/>
      <c r="J21" s="56"/>
      <c r="K21" s="56"/>
    </row>
    <row r="22" spans="2:11" x14ac:dyDescent="0.25">
      <c r="B22" s="56"/>
      <c r="C22" s="56"/>
      <c r="D22" s="56"/>
      <c r="E22" s="56"/>
      <c r="F22" s="56"/>
      <c r="G22" s="56"/>
      <c r="H22" s="56"/>
      <c r="I22" s="56"/>
      <c r="J22" s="56"/>
      <c r="K22" s="56"/>
    </row>
    <row r="23" spans="2:11" x14ac:dyDescent="0.25">
      <c r="B23" s="56"/>
      <c r="C23" s="56"/>
      <c r="D23" s="56"/>
      <c r="E23" s="56"/>
      <c r="F23" s="56"/>
      <c r="G23" s="56"/>
      <c r="H23" s="56"/>
      <c r="I23" s="56"/>
      <c r="J23" s="56"/>
      <c r="K23" s="56"/>
    </row>
    <row r="24" spans="2:11" x14ac:dyDescent="0.25">
      <c r="B24" s="56"/>
      <c r="C24" s="56"/>
      <c r="D24" s="56"/>
      <c r="E24" s="56"/>
      <c r="F24" s="56"/>
      <c r="G24" s="56"/>
      <c r="H24" s="56"/>
      <c r="I24" s="56"/>
      <c r="J24" s="56"/>
      <c r="K24" s="56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Q14:R15" location="UnosPodataka!B2" display="DALJE"/>
    <hyperlink ref="M14:N15" r:id="rId1" display="NAZAD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>
          <x14:formula1>
            <xm:f>PomTab1!$C$7:$C$24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3:J12"/>
  <sheetViews>
    <sheetView workbookViewId="0">
      <selection activeCell="K4" sqref="K4"/>
    </sheetView>
  </sheetViews>
  <sheetFormatPr defaultRowHeight="15" x14ac:dyDescent="0.25"/>
  <sheetData>
    <row r="3" spans="1:10" ht="16.5" x14ac:dyDescent="0.35">
      <c r="G3" s="55" t="s">
        <v>191</v>
      </c>
      <c r="H3" s="55"/>
      <c r="I3" s="55"/>
      <c r="J3" s="55"/>
    </row>
    <row r="7" spans="1:10" ht="15" customHeight="1" x14ac:dyDescent="0.25">
      <c r="A7" s="57" t="s">
        <v>123</v>
      </c>
      <c r="B7" s="57"/>
      <c r="C7" s="57"/>
      <c r="D7" s="57"/>
    </row>
    <row r="8" spans="1:10" ht="15" customHeight="1" x14ac:dyDescent="0.25">
      <c r="A8" s="57"/>
      <c r="B8" s="57"/>
      <c r="C8" s="57"/>
      <c r="D8" s="57"/>
    </row>
    <row r="9" spans="1:10" x14ac:dyDescent="0.25">
      <c r="A9" s="57"/>
      <c r="B9" s="57"/>
      <c r="C9" s="57"/>
      <c r="D9" s="57"/>
    </row>
    <row r="11" spans="1:10" x14ac:dyDescent="0.25">
      <c r="A11" s="59" t="s">
        <v>136</v>
      </c>
      <c r="B11" s="59"/>
      <c r="C11" s="60" t="s">
        <v>137</v>
      </c>
      <c r="D11" s="60"/>
    </row>
    <row r="12" spans="1:10" x14ac:dyDescent="0.25">
      <c r="A12" s="59"/>
      <c r="B12" s="59"/>
      <c r="C12" s="60"/>
      <c r="D12" s="60"/>
    </row>
  </sheetData>
  <sheetProtection selectLockedCells="1" selectUnlockedCells="1"/>
  <mergeCells count="4">
    <mergeCell ref="A7:D9"/>
    <mergeCell ref="A11:B12"/>
    <mergeCell ref="C11:D12"/>
    <mergeCell ref="G3:J3"/>
  </mergeCells>
  <hyperlinks>
    <hyperlink ref="A11:B12" location="GraphFina!A5" display="NAZAD"/>
    <hyperlink ref="C11:D12" location="LCoEE!A1" display="DALJE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3:AB21"/>
  <sheetViews>
    <sheetView workbookViewId="0">
      <selection activeCell="F13" sqref="F13"/>
    </sheetView>
  </sheetViews>
  <sheetFormatPr defaultRowHeight="15" x14ac:dyDescent="0.25"/>
  <cols>
    <col min="6" max="6" width="12.28515625" customWidth="1"/>
    <col min="7" max="7" width="12" customWidth="1"/>
    <col min="8" max="8" width="11.5703125" customWidth="1"/>
    <col min="9" max="9" width="11.42578125" customWidth="1"/>
    <col min="10" max="10" width="11.5703125" customWidth="1"/>
    <col min="11" max="11" width="12.7109375" customWidth="1"/>
    <col min="12" max="12" width="12.5703125" customWidth="1"/>
    <col min="13" max="13" width="12.85546875" customWidth="1"/>
    <col min="14" max="14" width="12" customWidth="1"/>
    <col min="15" max="15" width="12.5703125" customWidth="1"/>
    <col min="16" max="16" width="12.42578125" customWidth="1"/>
    <col min="17" max="17" width="11.85546875" customWidth="1"/>
    <col min="18" max="18" width="12.28515625" customWidth="1"/>
    <col min="19" max="19" width="11.5703125" customWidth="1"/>
    <col min="20" max="20" width="11.7109375" customWidth="1"/>
    <col min="21" max="21" width="12.5703125" customWidth="1"/>
    <col min="22" max="22" width="11.5703125" customWidth="1"/>
    <col min="23" max="24" width="12.140625" customWidth="1"/>
    <col min="25" max="25" width="12.28515625" customWidth="1"/>
  </cols>
  <sheetData>
    <row r="3" spans="1:28" ht="16.5" x14ac:dyDescent="0.35">
      <c r="G3" s="55" t="s">
        <v>191</v>
      </c>
      <c r="H3" s="55"/>
      <c r="I3" s="55"/>
      <c r="J3" s="55"/>
    </row>
    <row r="7" spans="1:28" x14ac:dyDescent="0.25">
      <c r="A7" s="72" t="s">
        <v>124</v>
      </c>
      <c r="B7" s="72"/>
      <c r="C7" s="72"/>
      <c r="D7" s="72"/>
      <c r="I7" s="59" t="s">
        <v>136</v>
      </c>
      <c r="J7" s="59"/>
      <c r="N7" s="60" t="s">
        <v>137</v>
      </c>
      <c r="O7" s="60"/>
    </row>
    <row r="8" spans="1:28" x14ac:dyDescent="0.25">
      <c r="A8" s="72"/>
      <c r="B8" s="72"/>
      <c r="C8" s="72"/>
      <c r="D8" s="72"/>
      <c r="I8" s="59"/>
      <c r="J8" s="59"/>
      <c r="N8" s="60"/>
      <c r="O8" s="60"/>
    </row>
    <row r="10" spans="1:28" x14ac:dyDescent="0.25">
      <c r="A10" s="64" t="s">
        <v>125</v>
      </c>
      <c r="B10" s="64"/>
      <c r="C10" s="64"/>
      <c r="D10" s="64"/>
      <c r="E10" s="17"/>
      <c r="F10" s="17">
        <f>IF(E10&lt;UnosPodataka!$M$28,E10+1,"")</f>
        <v>1</v>
      </c>
      <c r="G10" s="17">
        <f>IF(F10&lt;UnosPodataka!$M$28,F10+1,"")</f>
        <v>2</v>
      </c>
      <c r="H10" s="17">
        <f>IF(G10&lt;UnosPodataka!$M$28,G10+1,"")</f>
        <v>3</v>
      </c>
      <c r="I10" s="17">
        <f>IF(H10&lt;UnosPodataka!$M$28,H10+1,"")</f>
        <v>4</v>
      </c>
      <c r="J10" s="17">
        <f>IF(I10&lt;UnosPodataka!$M$28,I10+1,"")</f>
        <v>5</v>
      </c>
      <c r="K10" s="17">
        <f>IF(J10&lt;UnosPodataka!$M$28,J10+1,"")</f>
        <v>6</v>
      </c>
      <c r="L10" s="17">
        <f>IF(K10&lt;UnosPodataka!$M$28,K10+1,"")</f>
        <v>7</v>
      </c>
      <c r="M10" s="17">
        <f>IF(L10&lt;UnosPodataka!$M$28,L10+1,"")</f>
        <v>8</v>
      </c>
      <c r="N10" s="17">
        <f>IF(M10&lt;UnosPodataka!$M$28,M10+1,"")</f>
        <v>9</v>
      </c>
      <c r="O10" s="17">
        <f>IF(N10&lt;UnosPodataka!$M$28,N10+1,"")</f>
        <v>10</v>
      </c>
      <c r="P10" s="17">
        <f>IF(O10&lt;UnosPodataka!$M$28,O10+1,"")</f>
        <v>11</v>
      </c>
      <c r="Q10" s="17">
        <f>IF(P10&lt;UnosPodataka!$M$28,P10+1,"")</f>
        <v>12</v>
      </c>
      <c r="R10" s="17">
        <f>IF(Q10&lt;UnosPodataka!$M$28,Q10+1,"")</f>
        <v>13</v>
      </c>
      <c r="S10" s="17">
        <f>IF(R10&lt;UnosPodataka!$M$28,R10+1,"")</f>
        <v>14</v>
      </c>
      <c r="T10" s="17">
        <f>IF(S10&lt;UnosPodataka!$M$28,S10+1,"")</f>
        <v>15</v>
      </c>
      <c r="U10" s="17">
        <f>IF(T10&lt;UnosPodataka!$M$28,T10+1,"")</f>
        <v>16</v>
      </c>
      <c r="V10" s="17">
        <f>IF(U10&lt;UnosPodataka!$M$28,U10+1,"")</f>
        <v>17</v>
      </c>
      <c r="W10" s="17">
        <f>IF(V10&lt;UnosPodataka!$M$28,V10+1,"")</f>
        <v>18</v>
      </c>
      <c r="X10" s="17">
        <f>IF(W10&lt;UnosPodataka!$M$28,W10+1,"")</f>
        <v>19</v>
      </c>
      <c r="Y10" s="17">
        <f>IF(X10&lt;UnosPodataka!$M$28,X10+1,"")</f>
        <v>20</v>
      </c>
      <c r="Z10" s="18"/>
      <c r="AA10" s="18"/>
      <c r="AB10" s="18"/>
    </row>
    <row r="12" spans="1:28" x14ac:dyDescent="0.25">
      <c r="A12" s="65" t="s">
        <v>126</v>
      </c>
      <c r="B12" s="65"/>
      <c r="C12" s="65"/>
      <c r="D12" s="65"/>
      <c r="E12" s="3"/>
      <c r="F12" s="3">
        <f>Investment</f>
        <v>94000</v>
      </c>
    </row>
    <row r="13" spans="1:28" x14ac:dyDescent="0.25">
      <c r="A13" s="65" t="s">
        <v>127</v>
      </c>
      <c r="B13" s="65"/>
      <c r="C13" s="65"/>
      <c r="D13" s="65"/>
      <c r="F13" s="3">
        <f>IF(F10&lt;&gt;"",-(FinaIndicators!F30-FinaIndicators!F35),"")</f>
        <v>47337.651954691624</v>
      </c>
      <c r="G13" s="3">
        <f>IF(G10&lt;&gt;"",-(FinaIndicators!G30-FinaIndicators!G35),"")</f>
        <v>47337.651954691624</v>
      </c>
      <c r="H13" s="3">
        <f>IF(H10&lt;&gt;"",-(FinaIndicators!H30-FinaIndicators!H35),"")</f>
        <v>47337.651954691624</v>
      </c>
      <c r="I13" s="3">
        <f>IF(I10&lt;&gt;"",-(FinaIndicators!I30-FinaIndicators!I35),"")</f>
        <v>47337.651954691624</v>
      </c>
      <c r="J13" s="3">
        <f>IF(J10&lt;&gt;"",-(FinaIndicators!J30-FinaIndicators!J35),"")</f>
        <v>47337.651954691624</v>
      </c>
      <c r="K13" s="3">
        <f>IF(K10&lt;&gt;"",-(FinaIndicators!K30-FinaIndicators!K35),"")</f>
        <v>47337.651954691624</v>
      </c>
      <c r="L13" s="3">
        <f>IF(L10&lt;&gt;"",-(FinaIndicators!L30-FinaIndicators!L35),"")</f>
        <v>47337.651954691624</v>
      </c>
      <c r="M13" s="3">
        <f>IF(M10&lt;&gt;"",-(FinaIndicators!M30-FinaIndicators!M35),"")</f>
        <v>47337.651954691624</v>
      </c>
      <c r="N13" s="3">
        <f>IF(N10&lt;&gt;"",-(FinaIndicators!N30-FinaIndicators!N35),"")</f>
        <v>47337.651954691624</v>
      </c>
      <c r="O13" s="3">
        <f>IF(O10&lt;&gt;"",-(FinaIndicators!O30-FinaIndicators!O35),"")</f>
        <v>47337.651954691624</v>
      </c>
      <c r="P13" s="3">
        <f>IF(P10&lt;&gt;"",-(FinaIndicators!P30-FinaIndicators!P35),"")</f>
        <v>47337.651954691624</v>
      </c>
      <c r="Q13" s="3">
        <f>IF(Q10&lt;&gt;"",-(FinaIndicators!Q30-FinaIndicators!Q35),"")</f>
        <v>47337.651954691624</v>
      </c>
      <c r="R13" s="3">
        <f>IF(R10&lt;&gt;"",-(FinaIndicators!R30-FinaIndicators!R35),"")</f>
        <v>34794.012004638156</v>
      </c>
      <c r="S13" s="3">
        <f>IF(S10&lt;&gt;"",-(FinaIndicators!S30-FinaIndicators!S35),"")</f>
        <v>34794.012004638156</v>
      </c>
      <c r="T13" s="3">
        <f>IF(T10&lt;&gt;"",-(FinaIndicators!T30-FinaIndicators!T35),"")</f>
        <v>34794.012004638156</v>
      </c>
      <c r="U13" s="3">
        <f>IF(U10&lt;&gt;"",-(FinaIndicators!U30-FinaIndicators!U35),"")</f>
        <v>34794.012004638156</v>
      </c>
      <c r="V13" s="3">
        <f>IF(V10&lt;&gt;"",-(FinaIndicators!V30-FinaIndicators!V35),"")</f>
        <v>34794.012004638156</v>
      </c>
      <c r="W13" s="3">
        <f>IF(W10&lt;&gt;"",-(FinaIndicators!W30-FinaIndicators!W35),"")</f>
        <v>34794.012004638156</v>
      </c>
      <c r="X13" s="3">
        <f>IF(X10&lt;&gt;"",-(FinaIndicators!X30-FinaIndicators!X35),"")</f>
        <v>34794.012004638156</v>
      </c>
      <c r="Y13" s="3">
        <f>IF(Y10&lt;&gt;"",-(FinaIndicators!Y30-FinaIndicators!Y35),"")</f>
        <v>34794.012004638156</v>
      </c>
    </row>
    <row r="14" spans="1:28" x14ac:dyDescent="0.25">
      <c r="A14" s="65" t="s">
        <v>128</v>
      </c>
      <c r="B14" s="65"/>
      <c r="C14" s="65"/>
      <c r="D14" s="65"/>
      <c r="E14" s="3"/>
      <c r="F14" s="3">
        <f t="shared" ref="F14:Y14" si="0">IF(F10&lt;&gt;"",F12+F13,"")</f>
        <v>141337.65195469162</v>
      </c>
      <c r="G14" s="3">
        <f t="shared" si="0"/>
        <v>47337.651954691624</v>
      </c>
      <c r="H14" s="3">
        <f t="shared" si="0"/>
        <v>47337.651954691624</v>
      </c>
      <c r="I14" s="3">
        <f t="shared" si="0"/>
        <v>47337.651954691624</v>
      </c>
      <c r="J14" s="3">
        <f t="shared" si="0"/>
        <v>47337.651954691624</v>
      </c>
      <c r="K14" s="3">
        <f t="shared" si="0"/>
        <v>47337.651954691624</v>
      </c>
      <c r="L14" s="3">
        <f t="shared" si="0"/>
        <v>47337.651954691624</v>
      </c>
      <c r="M14" s="3">
        <f t="shared" si="0"/>
        <v>47337.651954691624</v>
      </c>
      <c r="N14" s="3">
        <f t="shared" si="0"/>
        <v>47337.651954691624</v>
      </c>
      <c r="O14" s="3">
        <f t="shared" si="0"/>
        <v>47337.651954691624</v>
      </c>
      <c r="P14" s="3">
        <f t="shared" si="0"/>
        <v>47337.651954691624</v>
      </c>
      <c r="Q14" s="3">
        <f t="shared" si="0"/>
        <v>47337.651954691624</v>
      </c>
      <c r="R14" s="3">
        <f t="shared" si="0"/>
        <v>34794.012004638156</v>
      </c>
      <c r="S14" s="3">
        <f t="shared" si="0"/>
        <v>34794.012004638156</v>
      </c>
      <c r="T14" s="3">
        <f t="shared" si="0"/>
        <v>34794.012004638156</v>
      </c>
      <c r="U14" s="3">
        <f t="shared" si="0"/>
        <v>34794.012004638156</v>
      </c>
      <c r="V14" s="3">
        <f t="shared" si="0"/>
        <v>34794.012004638156</v>
      </c>
      <c r="W14" s="3">
        <f t="shared" si="0"/>
        <v>34794.012004638156</v>
      </c>
      <c r="X14" s="3">
        <f t="shared" si="0"/>
        <v>34794.012004638156</v>
      </c>
      <c r="Y14" s="3">
        <f t="shared" si="0"/>
        <v>34794.012004638156</v>
      </c>
    </row>
    <row r="15" spans="1:28" x14ac:dyDescent="0.25">
      <c r="A15" s="68"/>
      <c r="B15" s="68"/>
      <c r="C15" s="68"/>
      <c r="D15" s="68"/>
    </row>
    <row r="16" spans="1:28" x14ac:dyDescent="0.25">
      <c r="A16" s="65" t="s">
        <v>104</v>
      </c>
      <c r="B16" s="65"/>
      <c r="C16" s="65"/>
      <c r="D16" s="65"/>
      <c r="F16" s="3">
        <f>IF(F10&lt;&gt;"",FinaIndicators!F14,"")</f>
        <v>500</v>
      </c>
      <c r="G16" s="3">
        <f>IF(G10&lt;&gt;"",FinaIndicators!G14,"")</f>
        <v>500</v>
      </c>
      <c r="H16" s="3">
        <f>IF(H10&lt;&gt;"",FinaIndicators!H14,"")</f>
        <v>500</v>
      </c>
      <c r="I16" s="3">
        <f>IF(I10&lt;&gt;"",FinaIndicators!I14,"")</f>
        <v>500</v>
      </c>
      <c r="J16" s="3">
        <f>IF(J10&lt;&gt;"",FinaIndicators!J14,"")</f>
        <v>500</v>
      </c>
      <c r="K16" s="3">
        <f>IF(K10&lt;&gt;"",FinaIndicators!K14,"")</f>
        <v>500</v>
      </c>
      <c r="L16" s="3">
        <f>IF(L10&lt;&gt;"",FinaIndicators!L14,"")</f>
        <v>500</v>
      </c>
      <c r="M16" s="3">
        <f>IF(M10&lt;&gt;"",FinaIndicators!M14,"")</f>
        <v>500</v>
      </c>
      <c r="N16" s="3">
        <f>IF(N10&lt;&gt;"",FinaIndicators!N14,"")</f>
        <v>500</v>
      </c>
      <c r="O16" s="3">
        <f>IF(O10&lt;&gt;"",FinaIndicators!O14,"")</f>
        <v>500</v>
      </c>
      <c r="P16" s="3">
        <f>IF(P10&lt;&gt;"",FinaIndicators!P14,"")</f>
        <v>500</v>
      </c>
      <c r="Q16" s="3">
        <f>IF(Q10&lt;&gt;"",FinaIndicators!Q14,"")</f>
        <v>500</v>
      </c>
      <c r="R16" s="3">
        <f>IF(R10&lt;&gt;"",FinaIndicators!R14,"")</f>
        <v>500</v>
      </c>
      <c r="S16" s="3">
        <f>IF(S10&lt;&gt;"",FinaIndicators!S14,"")</f>
        <v>500</v>
      </c>
      <c r="T16" s="3">
        <f>IF(T10&lt;&gt;"",FinaIndicators!T14,"")</f>
        <v>500</v>
      </c>
      <c r="U16" s="3">
        <f>IF(U10&lt;&gt;"",FinaIndicators!U14,"")</f>
        <v>500</v>
      </c>
      <c r="V16" s="3">
        <f>IF(V10&lt;&gt;"",FinaIndicators!V14,"")</f>
        <v>500</v>
      </c>
      <c r="W16" s="3">
        <f>IF(W10&lt;&gt;"",FinaIndicators!W14,"")</f>
        <v>500</v>
      </c>
      <c r="X16" s="3">
        <f>IF(X10&lt;&gt;"",FinaIndicators!X14,"")</f>
        <v>500</v>
      </c>
      <c r="Y16" s="3">
        <f>IF(Y10&lt;&gt;"",FinaIndicators!Y14,"")</f>
        <v>500</v>
      </c>
    </row>
    <row r="17" spans="1:25" ht="18" x14ac:dyDescent="0.35">
      <c r="A17" s="65" t="s">
        <v>118</v>
      </c>
      <c r="B17" s="65"/>
      <c r="C17" s="65"/>
      <c r="D17" s="65"/>
      <c r="F17" s="3">
        <f>IF(F10&lt;&gt;"",'FinInd+CO2'!F16,"")</f>
        <v>-50.428571428571431</v>
      </c>
      <c r="G17" s="3">
        <f>IF(G10&lt;&gt;"",'FinInd+CO2'!G16,"")</f>
        <v>-50.428571428571431</v>
      </c>
      <c r="H17" s="3">
        <f>IF(H10&lt;&gt;"",'FinInd+CO2'!H16,"")</f>
        <v>-50.428571428571431</v>
      </c>
      <c r="I17" s="3">
        <f>IF(I10&lt;&gt;"",'FinInd+CO2'!I16,"")</f>
        <v>-50.428571428571431</v>
      </c>
      <c r="J17" s="3">
        <f>IF(J10&lt;&gt;"",'FinInd+CO2'!J16,"")</f>
        <v>-50.428571428571431</v>
      </c>
      <c r="K17" s="3">
        <f>IF(K10&lt;&gt;"",'FinInd+CO2'!K16,"")</f>
        <v>-50.428571428571431</v>
      </c>
      <c r="L17" s="3">
        <f>IF(L10&lt;&gt;"",'FinInd+CO2'!L16,"")</f>
        <v>-50.428571428571431</v>
      </c>
      <c r="M17" s="3">
        <f>IF(M10&lt;&gt;"",'FinInd+CO2'!M16,"")</f>
        <v>-50.428571428571431</v>
      </c>
      <c r="N17" s="3">
        <f>IF(N10&lt;&gt;"",'FinInd+CO2'!N16,"")</f>
        <v>-50.428571428571431</v>
      </c>
      <c r="O17" s="3">
        <f>IF(O10&lt;&gt;"",'FinInd+CO2'!O16,"")</f>
        <v>-50.428571428571431</v>
      </c>
      <c r="P17" s="3">
        <f>IF(P10&lt;&gt;"",'FinInd+CO2'!P16,"")</f>
        <v>-50.428571428571431</v>
      </c>
      <c r="Q17" s="3">
        <f>IF(Q10&lt;&gt;"",'FinInd+CO2'!Q16,"")</f>
        <v>-50.428571428571431</v>
      </c>
      <c r="R17" s="3">
        <f>IF(R10&lt;&gt;"",'FinInd+CO2'!R16,"")</f>
        <v>-50.428571428571431</v>
      </c>
      <c r="S17" s="3">
        <f>IF(S10&lt;&gt;"",'FinInd+CO2'!S16,"")</f>
        <v>-50.428571428571431</v>
      </c>
      <c r="T17" s="3">
        <f>IF(T10&lt;&gt;"",'FinInd+CO2'!T16,"")</f>
        <v>-50.428571428571431</v>
      </c>
      <c r="U17" s="3">
        <f>IF(U10&lt;&gt;"",'FinInd+CO2'!U16,"")</f>
        <v>-50.428571428571431</v>
      </c>
      <c r="V17" s="3">
        <f>IF(V10&lt;&gt;"",'FinInd+CO2'!V16,"")</f>
        <v>-50.428571428571431</v>
      </c>
      <c r="W17" s="3">
        <f>IF(W10&lt;&gt;"",'FinInd+CO2'!W16,"")</f>
        <v>-50.428571428571431</v>
      </c>
      <c r="X17" s="3">
        <f>IF(X10&lt;&gt;"",'FinInd+CO2'!X16,"")</f>
        <v>-50.428571428571431</v>
      </c>
      <c r="Y17" s="3">
        <f>IF(Y10&lt;&gt;"",'FinInd+CO2'!Y16,"")</f>
        <v>-50.428571428571431</v>
      </c>
    </row>
    <row r="19" spans="1:25" x14ac:dyDescent="0.25">
      <c r="A19" s="64" t="s">
        <v>28</v>
      </c>
      <c r="B19" s="64"/>
      <c r="C19" s="64"/>
      <c r="D19" s="64"/>
      <c r="E19" s="3">
        <f>NPV(UnosPodataka!M22,LCoEE!F14:Y14)/NPV(UnosPodataka!M22,LCoEE!F16:Y16)</f>
        <v>103.38828494827378</v>
      </c>
    </row>
    <row r="20" spans="1:25" ht="18" x14ac:dyDescent="0.35">
      <c r="A20" s="64" t="s">
        <v>29</v>
      </c>
      <c r="B20" s="64"/>
      <c r="C20" s="64"/>
      <c r="D20" s="64"/>
      <c r="E20" s="22" t="str">
        <f>IF(F17&lt;0,"-",NPV(UnosPodataka!M22,LCoEE!F14:Y14)/NPV(UnosPodataka!M22,LCoEE!F17:Y17))</f>
        <v>-</v>
      </c>
    </row>
    <row r="21" spans="1:25" x14ac:dyDescent="0.25">
      <c r="E21" s="6"/>
    </row>
  </sheetData>
  <sheetProtection selectLockedCells="1"/>
  <mergeCells count="13">
    <mergeCell ref="N7:O8"/>
    <mergeCell ref="A16:D16"/>
    <mergeCell ref="A17:D17"/>
    <mergeCell ref="A19:D19"/>
    <mergeCell ref="G3:J3"/>
    <mergeCell ref="I7:J8"/>
    <mergeCell ref="A20:D20"/>
    <mergeCell ref="A7:D8"/>
    <mergeCell ref="A10:D10"/>
    <mergeCell ref="A12:D12"/>
    <mergeCell ref="A13:D13"/>
    <mergeCell ref="A14:D14"/>
    <mergeCell ref="A15:D15"/>
  </mergeCells>
  <hyperlinks>
    <hyperlink ref="N7:O8" location="SALCoEE!A1" display="DALJE"/>
    <hyperlink ref="I7:J8" location="GraphEcon!A5" display="NAZAD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3:I39"/>
  <sheetViews>
    <sheetView topLeftCell="A6" workbookViewId="0">
      <selection activeCell="G13" sqref="G13"/>
    </sheetView>
  </sheetViews>
  <sheetFormatPr defaultRowHeight="15" x14ac:dyDescent="0.25"/>
  <cols>
    <col min="1" max="1" width="14.85546875" customWidth="1"/>
    <col min="2" max="2" width="11.140625" customWidth="1"/>
    <col min="4" max="4" width="11.42578125" customWidth="1"/>
  </cols>
  <sheetData>
    <row r="3" spans="1:9" ht="16.5" x14ac:dyDescent="0.35">
      <c r="F3" s="55" t="s">
        <v>191</v>
      </c>
      <c r="G3" s="55"/>
      <c r="H3" s="55"/>
      <c r="I3" s="55"/>
    </row>
    <row r="7" spans="1:9" ht="21" x14ac:dyDescent="0.35">
      <c r="A7" s="62" t="s">
        <v>129</v>
      </c>
      <c r="B7" s="62"/>
      <c r="C7" s="62"/>
      <c r="D7" s="62"/>
    </row>
    <row r="9" spans="1:9" ht="15.75" thickBot="1" x14ac:dyDescent="0.3"/>
    <row r="10" spans="1:9" ht="15.75" thickBot="1" x14ac:dyDescent="0.3">
      <c r="B10" s="41" t="s">
        <v>188</v>
      </c>
      <c r="C10" s="42"/>
      <c r="D10" s="41" t="s">
        <v>189</v>
      </c>
      <c r="E10" s="42"/>
    </row>
    <row r="11" spans="1:9" ht="15.75" thickBot="1" x14ac:dyDescent="0.3">
      <c r="B11" s="43" t="s">
        <v>181</v>
      </c>
      <c r="C11" s="43" t="s">
        <v>182</v>
      </c>
      <c r="D11" s="43" t="s">
        <v>181</v>
      </c>
      <c r="E11" s="43" t="s">
        <v>182</v>
      </c>
    </row>
    <row r="13" spans="1:9" x14ac:dyDescent="0.25">
      <c r="A13" s="44" t="s">
        <v>183</v>
      </c>
      <c r="B13" s="45">
        <v>48819.225501035071</v>
      </c>
      <c r="C13" s="30">
        <v>0.19813619341585209</v>
      </c>
      <c r="D13" s="45">
        <v>71887.017382987877</v>
      </c>
      <c r="E13" s="7">
        <v>0.24716976199769403</v>
      </c>
    </row>
    <row r="14" spans="1:9" x14ac:dyDescent="0.25">
      <c r="B14" s="45"/>
      <c r="D14" s="45"/>
    </row>
    <row r="15" spans="1:9" x14ac:dyDescent="0.25">
      <c r="A15" s="44" t="s">
        <v>85</v>
      </c>
      <c r="B15" s="45"/>
      <c r="D15" s="45"/>
    </row>
    <row r="16" spans="1:9" x14ac:dyDescent="0.25">
      <c r="A16" s="19">
        <v>0.1</v>
      </c>
      <c r="B16" s="45">
        <v>39841.889975865706</v>
      </c>
      <c r="C16" s="30">
        <v>0.17811194904280958</v>
      </c>
      <c r="D16" s="45">
        <v>60985.967102425078</v>
      </c>
      <c r="E16" s="7">
        <v>0.22305819708623131</v>
      </c>
    </row>
    <row r="17" spans="1:5" x14ac:dyDescent="0.25">
      <c r="A17" s="19">
        <v>-0.1</v>
      </c>
      <c r="B17" s="45">
        <v>57796.561026204443</v>
      </c>
      <c r="C17" s="30">
        <v>0.21817176679658346</v>
      </c>
      <c r="D17" s="45">
        <v>82788.067663550653</v>
      </c>
      <c r="E17" s="7">
        <v>0.27141842095406377</v>
      </c>
    </row>
    <row r="18" spans="1:5" x14ac:dyDescent="0.25">
      <c r="A18" s="6" t="s">
        <v>184</v>
      </c>
      <c r="B18" s="30">
        <v>0.54379999999999995</v>
      </c>
      <c r="C18" s="30"/>
      <c r="D18" s="30">
        <v>0.65949999999999998</v>
      </c>
      <c r="E18" s="7"/>
    </row>
    <row r="19" spans="1:5" x14ac:dyDescent="0.25">
      <c r="B19" s="45"/>
      <c r="D19" s="45"/>
    </row>
    <row r="20" spans="1:5" x14ac:dyDescent="0.25">
      <c r="A20" s="44" t="s">
        <v>185</v>
      </c>
      <c r="B20" s="45"/>
      <c r="D20" s="45"/>
    </row>
    <row r="21" spans="1:5" x14ac:dyDescent="0.25">
      <c r="A21" s="19">
        <v>0.1</v>
      </c>
      <c r="B21" s="45">
        <v>70866.213959646295</v>
      </c>
      <c r="C21" s="30">
        <v>0.24743005936519991</v>
      </c>
      <c r="D21" s="45">
        <v>98658.360511301493</v>
      </c>
      <c r="E21" s="7">
        <v>0.30699957297184333</v>
      </c>
    </row>
    <row r="22" spans="1:5" x14ac:dyDescent="0.25">
      <c r="A22" s="19">
        <v>-0.1</v>
      </c>
      <c r="B22" s="45">
        <v>26772.237042423822</v>
      </c>
      <c r="C22" s="30">
        <v>0.14887297168328839</v>
      </c>
      <c r="D22" s="45">
        <v>45115.674254674203</v>
      </c>
      <c r="E22" s="7">
        <v>0.1881260989340976</v>
      </c>
    </row>
    <row r="23" spans="1:5" x14ac:dyDescent="0.25">
      <c r="A23" s="6" t="s">
        <v>184</v>
      </c>
      <c r="B23" s="30">
        <v>-0.22140000000000001</v>
      </c>
      <c r="C23" s="30"/>
      <c r="D23" s="30">
        <v>-0.26850000000000002</v>
      </c>
      <c r="E23" s="7"/>
    </row>
    <row r="24" spans="1:5" x14ac:dyDescent="0.25">
      <c r="B24" s="45"/>
      <c r="D24" s="45"/>
    </row>
    <row r="25" spans="1:5" x14ac:dyDescent="0.25">
      <c r="A25" s="44" t="s">
        <v>186</v>
      </c>
      <c r="B25" s="45"/>
      <c r="D25" s="45"/>
    </row>
    <row r="26" spans="1:5" x14ac:dyDescent="0.25">
      <c r="A26" s="19">
        <v>0.1</v>
      </c>
      <c r="B26" s="45">
        <v>56375.905236026098</v>
      </c>
      <c r="C26" s="30">
        <v>0.21499882013172544</v>
      </c>
      <c r="D26" s="45">
        <v>88007.882661645199</v>
      </c>
      <c r="E26" s="7">
        <v>0.28308375344825509</v>
      </c>
    </row>
    <row r="27" spans="1:5" x14ac:dyDescent="0.25">
      <c r="A27" s="19">
        <v>-0.1</v>
      </c>
      <c r="B27" s="45">
        <v>39583.28360271272</v>
      </c>
      <c r="C27" s="30">
        <v>0.17753483014815408</v>
      </c>
      <c r="D27" s="45">
        <v>52183.73759796231</v>
      </c>
      <c r="E27" s="7">
        <v>0.20366661225942329</v>
      </c>
    </row>
    <row r="28" spans="1:5" x14ac:dyDescent="0.25">
      <c r="A28" s="6" t="s">
        <v>184</v>
      </c>
      <c r="B28" s="30">
        <v>-0.37</v>
      </c>
      <c r="C28" s="30"/>
      <c r="D28" s="30">
        <v>-0.28849999999999998</v>
      </c>
      <c r="E28" s="7"/>
    </row>
    <row r="29" spans="1:5" x14ac:dyDescent="0.25">
      <c r="B29" s="46"/>
      <c r="C29" s="30"/>
      <c r="D29" s="46"/>
      <c r="E29" s="7"/>
    </row>
    <row r="30" spans="1:5" x14ac:dyDescent="0.25">
      <c r="A30" s="44" t="s">
        <v>187</v>
      </c>
      <c r="B30" s="46"/>
      <c r="C30" s="30"/>
      <c r="D30" s="46"/>
      <c r="E30" s="7"/>
    </row>
    <row r="31" spans="1:5" x14ac:dyDescent="0.25">
      <c r="A31" s="19">
        <v>0.1</v>
      </c>
      <c r="B31" s="45">
        <v>38370.278318685268</v>
      </c>
      <c r="C31" s="30">
        <v>0.17103412915176142</v>
      </c>
      <c r="D31" s="45">
        <v>59858.04349853193</v>
      </c>
      <c r="E31" s="7">
        <v>0.21327004173728792</v>
      </c>
    </row>
    <row r="32" spans="1:5" x14ac:dyDescent="0.25">
      <c r="A32" s="19">
        <v>-0.1</v>
      </c>
      <c r="B32" s="45">
        <v>60048.877663375984</v>
      </c>
      <c r="C32" s="30">
        <v>0.23172233887737348</v>
      </c>
      <c r="D32" s="45">
        <v>84897.953267861143</v>
      </c>
      <c r="E32" s="7">
        <v>0.28941729815209949</v>
      </c>
    </row>
    <row r="33" spans="1:5" x14ac:dyDescent="0.25">
      <c r="A33" s="6" t="s">
        <v>184</v>
      </c>
      <c r="B33" s="30">
        <v>0.51</v>
      </c>
      <c r="C33" s="30"/>
      <c r="D33" s="30">
        <v>0.67500000000000004</v>
      </c>
      <c r="E33" s="7"/>
    </row>
    <row r="35" spans="1:5" x14ac:dyDescent="0.25">
      <c r="A35" s="59" t="s">
        <v>136</v>
      </c>
      <c r="B35" s="59"/>
      <c r="D35" s="60" t="s">
        <v>137</v>
      </c>
      <c r="E35" s="60"/>
    </row>
    <row r="36" spans="1:5" x14ac:dyDescent="0.25">
      <c r="A36" s="59"/>
      <c r="B36" s="59"/>
      <c r="D36" s="60"/>
      <c r="E36" s="60"/>
    </row>
    <row r="39" spans="1:5" hidden="1" x14ac:dyDescent="0.25">
      <c r="B39" s="45">
        <f>+FinaIndicators!$E$45</f>
        <v>-95384.978120806772</v>
      </c>
      <c r="C39" s="30">
        <f>+FinaIndicators!$E$46</f>
        <v>-4.7512196265307671E-2</v>
      </c>
      <c r="D39" s="45">
        <f>+'FinInd+CO2'!$E$47</f>
        <v>-132520.19014540897</v>
      </c>
      <c r="E39" s="7">
        <f>+'FinInd+CO2'!$E$48</f>
        <v>-0.14378299757577473</v>
      </c>
    </row>
  </sheetData>
  <sheetProtection selectLockedCells="1"/>
  <mergeCells count="4">
    <mergeCell ref="A35:B36"/>
    <mergeCell ref="D35:E36"/>
    <mergeCell ref="A7:D7"/>
    <mergeCell ref="F3:I3"/>
  </mergeCells>
  <hyperlinks>
    <hyperlink ref="A35:B36" location="LCoEE!I1" display="NAZAD"/>
    <hyperlink ref="D35:E36" location="AkoESCO!A1" display="DALJE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16"/>
  <sheetViews>
    <sheetView workbookViewId="0">
      <selection activeCell="O3" sqref="O3"/>
    </sheetView>
  </sheetViews>
  <sheetFormatPr defaultRowHeight="15" x14ac:dyDescent="0.25"/>
  <cols>
    <col min="5" max="5" width="10.85546875" bestFit="1" customWidth="1"/>
  </cols>
  <sheetData>
    <row r="3" spans="1:25" ht="16.5" x14ac:dyDescent="0.35">
      <c r="G3" s="55" t="s">
        <v>191</v>
      </c>
      <c r="H3" s="55"/>
      <c r="I3" s="55"/>
      <c r="J3" s="55"/>
    </row>
    <row r="7" spans="1:25" ht="21" customHeight="1" x14ac:dyDescent="0.25">
      <c r="A7" s="57" t="s">
        <v>139</v>
      </c>
      <c r="B7" s="57"/>
      <c r="C7" s="57"/>
      <c r="D7" s="57"/>
      <c r="I7" s="59" t="s">
        <v>136</v>
      </c>
      <c r="J7" s="59"/>
      <c r="N7" s="60" t="s">
        <v>137</v>
      </c>
      <c r="O7" s="60"/>
    </row>
    <row r="8" spans="1:25" x14ac:dyDescent="0.25">
      <c r="A8" s="57"/>
      <c r="B8" s="57"/>
      <c r="C8" s="57"/>
      <c r="D8" s="57"/>
    </row>
    <row r="10" spans="1:25" x14ac:dyDescent="0.25">
      <c r="A10" s="64" t="s">
        <v>125</v>
      </c>
      <c r="B10" s="64"/>
      <c r="C10" s="64"/>
      <c r="D10" s="64"/>
      <c r="E10" s="20"/>
      <c r="F10" s="17">
        <f>IF(E10&lt;UnosPodataka!$M$28,E10+1,"")</f>
        <v>1</v>
      </c>
      <c r="G10" s="17">
        <f>IF(F10&lt;UnosPodataka!$M$28,F10+1,"")</f>
        <v>2</v>
      </c>
      <c r="H10" s="17">
        <f>IF(G10&lt;UnosPodataka!$M$28,G10+1,"")</f>
        <v>3</v>
      </c>
      <c r="I10" s="17">
        <f>IF(H10&lt;UnosPodataka!$M$28,H10+1,"")</f>
        <v>4</v>
      </c>
      <c r="J10" s="17">
        <f>IF(I10&lt;UnosPodataka!$M$28,I10+1,"")</f>
        <v>5</v>
      </c>
      <c r="K10" s="17">
        <f>IF(J10&lt;UnosPodataka!$M$28,J10+1,"")</f>
        <v>6</v>
      </c>
      <c r="L10" s="17">
        <f>IF(K10&lt;UnosPodataka!$M$28,K10+1,"")</f>
        <v>7</v>
      </c>
      <c r="M10" s="17">
        <f>IF(L10&lt;UnosPodataka!$M$28,L10+1,"")</f>
        <v>8</v>
      </c>
      <c r="N10" s="17">
        <f>IF(M10&lt;UnosPodataka!$M$28,M10+1,"")</f>
        <v>9</v>
      </c>
      <c r="O10" s="17">
        <f>IF(N10&lt;UnosPodataka!$M$28,N10+1,"")</f>
        <v>10</v>
      </c>
      <c r="P10" s="17">
        <f>IF(O10&lt;UnosPodataka!$M$28,O10+1,"")</f>
        <v>11</v>
      </c>
      <c r="Q10" s="17">
        <f>IF(P10&lt;UnosPodataka!$M$28,P10+1,"")</f>
        <v>12</v>
      </c>
      <c r="R10" s="17">
        <f>IF(Q10&lt;UnosPodataka!$M$28,Q10+1,"")</f>
        <v>13</v>
      </c>
      <c r="S10" s="17">
        <f>IF(R10&lt;UnosPodataka!$M$28,R10+1,"")</f>
        <v>14</v>
      </c>
      <c r="T10" s="17">
        <f>IF(S10&lt;UnosPodataka!$M$28,S10+1,"")</f>
        <v>15</v>
      </c>
      <c r="U10" s="17">
        <f>IF(T10&lt;UnosPodataka!$M$28,T10+1,"")</f>
        <v>16</v>
      </c>
      <c r="V10" s="17">
        <f>IF(U10&lt;UnosPodataka!$M$28,U10+1,"")</f>
        <v>17</v>
      </c>
      <c r="W10" s="17">
        <f>IF(V10&lt;UnosPodataka!$M$28,V10+1,"")</f>
        <v>18</v>
      </c>
      <c r="X10" s="17">
        <f>IF(W10&lt;UnosPodataka!$M$28,W10+1,"")</f>
        <v>19</v>
      </c>
      <c r="Y10" s="17">
        <f>IF(X10&lt;UnosPodataka!$M$28,X10+1,"")</f>
        <v>20</v>
      </c>
    </row>
    <row r="12" spans="1:25" x14ac:dyDescent="0.25">
      <c r="A12" s="65" t="s">
        <v>140</v>
      </c>
      <c r="B12" s="65"/>
      <c r="C12" s="65"/>
      <c r="D12" s="65"/>
      <c r="E12" s="3">
        <v>0</v>
      </c>
      <c r="F12" s="3">
        <f>-FinaIndicators!F29</f>
        <v>0</v>
      </c>
      <c r="G12" s="3">
        <f>-FinaIndicators!G29</f>
        <v>0</v>
      </c>
      <c r="H12" s="3">
        <f>-FinaIndicators!H29</f>
        <v>0</v>
      </c>
      <c r="I12" s="3">
        <f>-FinaIndicators!I29</f>
        <v>0</v>
      </c>
      <c r="J12" s="3">
        <f>-FinaIndicators!J29</f>
        <v>0</v>
      </c>
      <c r="K12" s="3">
        <f>-FinaIndicators!K29</f>
        <v>0</v>
      </c>
      <c r="L12" s="3">
        <f>-FinaIndicators!L29</f>
        <v>0</v>
      </c>
      <c r="M12" s="3">
        <f>-FinaIndicators!M29</f>
        <v>0</v>
      </c>
      <c r="N12" s="3">
        <f>-FinaIndicators!N29</f>
        <v>0</v>
      </c>
      <c r="O12" s="3">
        <f>-FinaIndicators!O29</f>
        <v>0</v>
      </c>
      <c r="P12" s="3">
        <f>-FinaIndicators!P29</f>
        <v>0</v>
      </c>
      <c r="Q12" s="3">
        <f>-FinaIndicators!Q29</f>
        <v>0</v>
      </c>
      <c r="R12" s="3">
        <f>-FinaIndicators!R29</f>
        <v>0</v>
      </c>
      <c r="S12" s="3">
        <f>-FinaIndicators!S29</f>
        <v>0</v>
      </c>
      <c r="T12" s="3">
        <f>-FinaIndicators!T29</f>
        <v>0</v>
      </c>
      <c r="U12" s="3">
        <f>-FinaIndicators!U29</f>
        <v>0</v>
      </c>
      <c r="V12" s="3">
        <f>-FinaIndicators!V29</f>
        <v>0</v>
      </c>
      <c r="W12" s="3">
        <f>-FinaIndicators!W29</f>
        <v>0</v>
      </c>
      <c r="X12" s="3">
        <f>-FinaIndicators!X29</f>
        <v>0</v>
      </c>
      <c r="Y12" s="3">
        <f>-FinaIndicators!Y29</f>
        <v>0</v>
      </c>
    </row>
    <row r="13" spans="1:25" x14ac:dyDescent="0.25">
      <c r="A13" s="65" t="s">
        <v>141</v>
      </c>
      <c r="B13" s="65"/>
      <c r="C13" s="65"/>
      <c r="D13" s="65"/>
      <c r="E13" s="3">
        <v>0</v>
      </c>
      <c r="F13" s="3">
        <f>IF(F10&lt;&gt;"",F12*(1+UnosPodataka!$M$22)^(-F10),"")</f>
        <v>0</v>
      </c>
      <c r="G13" s="3">
        <f>IF(G10&lt;&gt;"",G12*(1+UnosPodataka!$M$22)^(-G10),"")</f>
        <v>0</v>
      </c>
      <c r="H13" s="3">
        <f>IF(H10&lt;&gt;"",H12*(1+UnosPodataka!$M$22)^(-H10),"")</f>
        <v>0</v>
      </c>
      <c r="I13" s="3">
        <f>IF(I10&lt;&gt;"",I12*(1+UnosPodataka!$M$22)^(-I10),"")</f>
        <v>0</v>
      </c>
      <c r="J13" s="3">
        <f>IF(J10&lt;&gt;"",J12*(1+UnosPodataka!$M$22)^(-J10),"")</f>
        <v>0</v>
      </c>
      <c r="K13" s="3">
        <f>IF(K10&lt;&gt;"",K12*(1+UnosPodataka!$M$22)^(-K10),"")</f>
        <v>0</v>
      </c>
      <c r="L13" s="3">
        <f>IF(L10&lt;&gt;"",L12*(1+UnosPodataka!$M$22)^(-L10),"")</f>
        <v>0</v>
      </c>
      <c r="M13" s="3">
        <f>IF(M10&lt;&gt;"",M12*(1+UnosPodataka!$M$22)^(-M10),"")</f>
        <v>0</v>
      </c>
      <c r="N13" s="3">
        <f>IF(N10&lt;&gt;"",N12*(1+UnosPodataka!$M$22)^(-N10),"")</f>
        <v>0</v>
      </c>
      <c r="O13" s="3">
        <f>IF(O10&lt;&gt;"",O12*(1+UnosPodataka!$M$22)^(-O10),"")</f>
        <v>0</v>
      </c>
      <c r="P13" s="3">
        <f>IF(P10&lt;&gt;"",P12*(1+UnosPodataka!$M$22)^(-P10),"")</f>
        <v>0</v>
      </c>
      <c r="Q13" s="3">
        <f>IF(Q10&lt;&gt;"",Q12*(1+UnosPodataka!$M$22)^(-Q10),"")</f>
        <v>0</v>
      </c>
      <c r="R13" s="3">
        <f>IF(R10&lt;&gt;"",R12*(1+UnosPodataka!$M$22)^(-R10),"")</f>
        <v>0</v>
      </c>
      <c r="S13" s="3">
        <f>IF(S10&lt;&gt;"",S12*(1+UnosPodataka!$M$22)^(-S10),"")</f>
        <v>0</v>
      </c>
      <c r="T13" s="3">
        <f>IF(T10&lt;&gt;"",T12*(1+UnosPodataka!$M$22)^(-T10),"")</f>
        <v>0</v>
      </c>
      <c r="U13" s="3">
        <f>IF(U10&lt;&gt;"",U12*(1+UnosPodataka!$M$22)^(-U10),"")</f>
        <v>0</v>
      </c>
      <c r="V13" s="3">
        <f>IF(V10&lt;&gt;"",V12*(1+UnosPodataka!$M$22)^(-V10),"")</f>
        <v>0</v>
      </c>
      <c r="W13" s="3">
        <f>IF(W10&lt;&gt;"",W12*(1+UnosPodataka!$M$22)^(-W10),"")</f>
        <v>0</v>
      </c>
      <c r="X13" s="3">
        <f>IF(X10&lt;&gt;"",X12*(1+UnosPodataka!$M$22)^(-X10),"")</f>
        <v>0</v>
      </c>
      <c r="Y13" s="3">
        <f>IF(Y10&lt;&gt;"",Y12*(1+UnosPodataka!$M$22)^(-Y10),"")</f>
        <v>0</v>
      </c>
    </row>
    <row r="15" spans="1:25" x14ac:dyDescent="0.25">
      <c r="A15" s="64" t="s">
        <v>26</v>
      </c>
      <c r="B15" s="64"/>
      <c r="C15" s="64"/>
      <c r="D15" s="64"/>
      <c r="E15" s="29">
        <f>NPV(UnosPodataka!M22,AkoESCO!E12:Y12)</f>
        <v>0</v>
      </c>
    </row>
    <row r="16" spans="1:25" x14ac:dyDescent="0.25">
      <c r="A16" s="64" t="s">
        <v>27</v>
      </c>
      <c r="B16" s="64"/>
      <c r="C16" s="64"/>
      <c r="D16" s="64"/>
      <c r="E16" s="6" t="s">
        <v>142</v>
      </c>
    </row>
  </sheetData>
  <mergeCells count="9">
    <mergeCell ref="N7:O7"/>
    <mergeCell ref="A10:D10"/>
    <mergeCell ref="A12:D12"/>
    <mergeCell ref="A15:D15"/>
    <mergeCell ref="A16:D16"/>
    <mergeCell ref="A13:D13"/>
    <mergeCell ref="A7:D8"/>
    <mergeCell ref="I7:J7"/>
    <mergeCell ref="G3:J3"/>
  </mergeCells>
  <hyperlinks>
    <hyperlink ref="I7:J7" location="SALCoEE!A10" display="NAZAD"/>
    <hyperlink ref="N7:O7" location="ESCOGrafFina!A1" display="DALJE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12"/>
  <sheetViews>
    <sheetView workbookViewId="0">
      <selection activeCell="U12" sqref="U12"/>
    </sheetView>
  </sheetViews>
  <sheetFormatPr defaultRowHeight="15" x14ac:dyDescent="0.25"/>
  <sheetData>
    <row r="3" spans="1:10" ht="16.5" x14ac:dyDescent="0.35">
      <c r="G3" s="55" t="s">
        <v>191</v>
      </c>
      <c r="H3" s="55"/>
      <c r="I3" s="55"/>
      <c r="J3" s="55"/>
    </row>
    <row r="7" spans="1:10" x14ac:dyDescent="0.25">
      <c r="A7" s="57" t="s">
        <v>143</v>
      </c>
      <c r="B7" s="57"/>
      <c r="C7" s="57"/>
      <c r="D7" s="57"/>
    </row>
    <row r="8" spans="1:10" x14ac:dyDescent="0.25">
      <c r="A8" s="57"/>
      <c r="B8" s="57"/>
      <c r="C8" s="57"/>
      <c r="D8" s="57"/>
    </row>
    <row r="9" spans="1:10" x14ac:dyDescent="0.25">
      <c r="A9" s="57"/>
      <c r="B9" s="57"/>
      <c r="C9" s="57"/>
      <c r="D9" s="57"/>
    </row>
    <row r="11" spans="1:10" x14ac:dyDescent="0.25">
      <c r="A11" s="59" t="s">
        <v>136</v>
      </c>
      <c r="B11" s="59"/>
      <c r="D11" s="60" t="s">
        <v>137</v>
      </c>
      <c r="E11" s="60"/>
    </row>
    <row r="12" spans="1:10" x14ac:dyDescent="0.25">
      <c r="A12" s="59"/>
      <c r="B12" s="59"/>
      <c r="D12" s="60"/>
      <c r="E12" s="60"/>
    </row>
  </sheetData>
  <mergeCells count="4">
    <mergeCell ref="A7:D9"/>
    <mergeCell ref="A11:B12"/>
    <mergeCell ref="D11:E12"/>
    <mergeCell ref="G3:J3"/>
  </mergeCells>
  <hyperlinks>
    <hyperlink ref="A11:B12" location="AkoESCO!I1" display="NAZAD"/>
    <hyperlink ref="D11:E12" location="REZIME!A1" display="DALJE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21"/>
  <sheetViews>
    <sheetView tabSelected="1" workbookViewId="0">
      <selection activeCell="S18" sqref="S18"/>
    </sheetView>
  </sheetViews>
  <sheetFormatPr defaultRowHeight="15" x14ac:dyDescent="0.25"/>
  <sheetData>
    <row r="3" spans="1:10" ht="16.5" x14ac:dyDescent="0.35">
      <c r="F3" s="55" t="s">
        <v>191</v>
      </c>
      <c r="G3" s="55"/>
      <c r="H3" s="55"/>
      <c r="I3" s="55"/>
    </row>
    <row r="7" spans="1:10" x14ac:dyDescent="0.25">
      <c r="A7" s="57" t="s">
        <v>144</v>
      </c>
      <c r="B7" s="57"/>
      <c r="C7" s="57"/>
      <c r="D7" s="57"/>
    </row>
    <row r="8" spans="1:10" x14ac:dyDescent="0.25">
      <c r="A8" s="57"/>
      <c r="B8" s="57"/>
      <c r="C8" s="57"/>
      <c r="D8" s="57"/>
    </row>
    <row r="9" spans="1:10" x14ac:dyDescent="0.25">
      <c r="B9" s="64" t="s">
        <v>37</v>
      </c>
      <c r="C9" s="64"/>
      <c r="D9" s="64"/>
      <c r="E9" s="68" t="str">
        <f>PROJEKAT</f>
        <v>Ugradnja toplotne pumpe i povezivanje na sekundar TPS</v>
      </c>
      <c r="F9" s="68"/>
      <c r="G9" s="68"/>
      <c r="H9" s="68"/>
      <c r="I9" s="68"/>
      <c r="J9" s="68"/>
    </row>
    <row r="10" spans="1:10" x14ac:dyDescent="0.25">
      <c r="B10" s="64" t="s">
        <v>145</v>
      </c>
      <c r="C10" s="64"/>
      <c r="D10" s="64"/>
      <c r="E10" s="73">
        <f>Investment</f>
        <v>94000</v>
      </c>
      <c r="F10" s="73"/>
      <c r="G10" s="73"/>
      <c r="H10" s="73"/>
      <c r="I10" s="73"/>
    </row>
    <row r="11" spans="1:10" x14ac:dyDescent="0.25">
      <c r="B11" s="64" t="s">
        <v>146</v>
      </c>
      <c r="C11" s="64"/>
      <c r="D11" s="64"/>
      <c r="E11" s="73">
        <f>Investment-Equity-Loan</f>
        <v>10000</v>
      </c>
      <c r="F11" s="68"/>
      <c r="G11" s="68"/>
      <c r="H11" s="68"/>
      <c r="I11" s="68"/>
    </row>
    <row r="12" spans="1:10" x14ac:dyDescent="0.25">
      <c r="B12" s="64" t="s">
        <v>103</v>
      </c>
      <c r="C12" s="64"/>
      <c r="D12" s="64"/>
      <c r="E12" s="73">
        <f>Equity</f>
        <v>6300</v>
      </c>
      <c r="F12" s="73"/>
      <c r="G12" s="73"/>
      <c r="H12" s="73"/>
      <c r="I12" s="73"/>
    </row>
    <row r="13" spans="1:10" x14ac:dyDescent="0.25">
      <c r="B13" s="64" t="s">
        <v>102</v>
      </c>
      <c r="C13" s="64"/>
      <c r="D13" s="64"/>
      <c r="E13" s="73">
        <f>Loan</f>
        <v>77700</v>
      </c>
      <c r="F13" s="73"/>
      <c r="G13" s="73"/>
      <c r="H13" s="73"/>
      <c r="I13" s="73"/>
    </row>
    <row r="14" spans="1:10" x14ac:dyDescent="0.25">
      <c r="B14" s="64" t="s">
        <v>147</v>
      </c>
      <c r="C14" s="64"/>
      <c r="D14" s="64"/>
      <c r="E14" s="73">
        <f>LCoEE</f>
        <v>103.38828494827378</v>
      </c>
      <c r="F14" s="73"/>
      <c r="G14" s="73"/>
      <c r="H14" s="73"/>
      <c r="I14" s="73"/>
    </row>
    <row r="15" spans="1:10" x14ac:dyDescent="0.25">
      <c r="B15" s="64" t="s">
        <v>148</v>
      </c>
      <c r="C15" s="64"/>
      <c r="D15" s="64"/>
      <c r="E15" s="73">
        <f>+FinaIndicators!E45</f>
        <v>-95384.978120806772</v>
      </c>
      <c r="F15" s="73"/>
      <c r="G15" s="73"/>
      <c r="H15" s="73"/>
      <c r="I15" s="73"/>
    </row>
    <row r="16" spans="1:10" x14ac:dyDescent="0.25">
      <c r="B16" s="64" t="s">
        <v>149</v>
      </c>
      <c r="C16" s="64"/>
      <c r="D16" s="64"/>
      <c r="E16" s="74">
        <f>+FinaIndicators!E46</f>
        <v>-4.7512196265307671E-2</v>
      </c>
      <c r="F16" s="74"/>
      <c r="G16" s="74"/>
      <c r="H16" s="74"/>
      <c r="I16" s="74"/>
    </row>
    <row r="17" spans="2:9" x14ac:dyDescent="0.25">
      <c r="B17" s="64" t="s">
        <v>192</v>
      </c>
      <c r="C17" s="64"/>
      <c r="D17" s="64"/>
      <c r="E17" s="75">
        <f>+'FinInd+CO2'!E47</f>
        <v>-132520.19014540897</v>
      </c>
      <c r="F17" s="68"/>
      <c r="G17" s="68"/>
      <c r="H17" s="68"/>
      <c r="I17" s="68"/>
    </row>
    <row r="18" spans="2:9" x14ac:dyDescent="0.25">
      <c r="B18" s="64" t="s">
        <v>193</v>
      </c>
      <c r="C18" s="64"/>
      <c r="D18" s="64"/>
      <c r="E18" s="75">
        <f>+'FinInd+CO2'!E48</f>
        <v>-0.14378299757577473</v>
      </c>
      <c r="F18" s="68"/>
      <c r="G18" s="68"/>
      <c r="H18" s="68"/>
      <c r="I18" s="68"/>
    </row>
    <row r="20" spans="2:9" x14ac:dyDescent="0.25">
      <c r="B20" s="59" t="s">
        <v>136</v>
      </c>
      <c r="C20" s="59"/>
    </row>
    <row r="21" spans="2:9" x14ac:dyDescent="0.25">
      <c r="B21" s="59"/>
      <c r="C21" s="59"/>
    </row>
  </sheetData>
  <mergeCells count="23">
    <mergeCell ref="B20:C21"/>
    <mergeCell ref="E13:I13"/>
    <mergeCell ref="E14:I14"/>
    <mergeCell ref="E15:I15"/>
    <mergeCell ref="E16:I16"/>
    <mergeCell ref="E17:I17"/>
    <mergeCell ref="E18:I18"/>
    <mergeCell ref="B14:D14"/>
    <mergeCell ref="B15:D15"/>
    <mergeCell ref="B16:D16"/>
    <mergeCell ref="B17:D17"/>
    <mergeCell ref="B18:D18"/>
    <mergeCell ref="B13:D13"/>
    <mergeCell ref="A7:D8"/>
    <mergeCell ref="B9:D9"/>
    <mergeCell ref="B10:D10"/>
    <mergeCell ref="B11:D11"/>
    <mergeCell ref="B12:D12"/>
    <mergeCell ref="F3:I3"/>
    <mergeCell ref="E9:J9"/>
    <mergeCell ref="E10:I10"/>
    <mergeCell ref="E11:I11"/>
    <mergeCell ref="E12:I12"/>
  </mergeCells>
  <hyperlinks>
    <hyperlink ref="B20:C21" location="ESCOGrafFina!A5" display="NAZAD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C23"/>
  <sheetViews>
    <sheetView zoomScaleNormal="100" workbookViewId="0">
      <selection activeCell="M17" sqref="M17"/>
    </sheetView>
  </sheetViews>
  <sheetFormatPr defaultRowHeight="15" x14ac:dyDescent="0.25"/>
  <cols>
    <col min="2" max="2" width="23.85546875" customWidth="1"/>
  </cols>
  <sheetData>
    <row r="7" spans="2:3" ht="21" x14ac:dyDescent="0.35">
      <c r="B7" s="54" t="s">
        <v>205</v>
      </c>
    </row>
    <row r="8" spans="2:3" ht="18" x14ac:dyDescent="0.35">
      <c r="C8" s="48" t="s">
        <v>206</v>
      </c>
    </row>
    <row r="9" spans="2:3" x14ac:dyDescent="0.25">
      <c r="B9" t="s">
        <v>20</v>
      </c>
      <c r="C9" s="8">
        <v>0.4</v>
      </c>
    </row>
    <row r="10" spans="2:3" x14ac:dyDescent="0.25">
      <c r="B10" t="s">
        <v>19</v>
      </c>
      <c r="C10" s="8">
        <v>0.33</v>
      </c>
    </row>
    <row r="11" spans="2:3" x14ac:dyDescent="0.25">
      <c r="B11" t="s">
        <v>207</v>
      </c>
      <c r="C11" s="8">
        <v>0.34</v>
      </c>
    </row>
    <row r="12" spans="2:3" x14ac:dyDescent="0.25">
      <c r="B12" t="s">
        <v>208</v>
      </c>
      <c r="C12" s="8">
        <v>0.27</v>
      </c>
    </row>
    <row r="13" spans="2:3" x14ac:dyDescent="0.25">
      <c r="B13" t="s">
        <v>16</v>
      </c>
      <c r="C13" s="8">
        <v>0.28000000000000003</v>
      </c>
    </row>
    <row r="14" spans="2:3" x14ac:dyDescent="0.25">
      <c r="B14" t="s">
        <v>13</v>
      </c>
      <c r="C14" s="8">
        <v>0.2</v>
      </c>
    </row>
    <row r="15" spans="2:3" x14ac:dyDescent="0.25">
      <c r="B15" t="s">
        <v>209</v>
      </c>
      <c r="C15" s="8">
        <v>0.22</v>
      </c>
    </row>
    <row r="16" spans="2:3" x14ac:dyDescent="0.25">
      <c r="B16" t="s">
        <v>210</v>
      </c>
      <c r="C16" s="8">
        <v>0.49399999999999999</v>
      </c>
    </row>
    <row r="17" spans="2:3" x14ac:dyDescent="0.25">
      <c r="B17" t="s">
        <v>22</v>
      </c>
      <c r="C17" s="8">
        <v>4.9000000000000002E-2</v>
      </c>
    </row>
    <row r="18" spans="2:3" x14ac:dyDescent="0.25">
      <c r="B18" t="s">
        <v>211</v>
      </c>
      <c r="C18" s="8">
        <v>0.04</v>
      </c>
    </row>
    <row r="19" spans="2:3" x14ac:dyDescent="0.25">
      <c r="B19" t="s">
        <v>212</v>
      </c>
      <c r="C19" s="8">
        <v>0.28999999999999998</v>
      </c>
    </row>
    <row r="20" spans="2:3" x14ac:dyDescent="0.25">
      <c r="B20" t="s">
        <v>17</v>
      </c>
      <c r="C20" s="8">
        <v>0.8</v>
      </c>
    </row>
    <row r="21" spans="2:3" x14ac:dyDescent="0.25">
      <c r="B21" t="s">
        <v>213</v>
      </c>
      <c r="C21" s="8">
        <v>0</v>
      </c>
    </row>
    <row r="22" spans="2:3" x14ac:dyDescent="0.25">
      <c r="B22" t="s">
        <v>202</v>
      </c>
    </row>
    <row r="23" spans="2:3" x14ac:dyDescent="0.25">
      <c r="B23" t="s">
        <v>214</v>
      </c>
      <c r="C23" s="8">
        <v>0.22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1"/>
  <sheetViews>
    <sheetView zoomScaleNormal="100" workbookViewId="0">
      <selection activeCell="F20" sqref="F20"/>
    </sheetView>
  </sheetViews>
  <sheetFormatPr defaultRowHeight="15" x14ac:dyDescent="0.25"/>
  <cols>
    <col min="2" max="2" width="26.28515625" customWidth="1"/>
  </cols>
  <sheetData>
    <row r="3" spans="2:7" ht="16.5" x14ac:dyDescent="0.35">
      <c r="D3" s="55" t="s">
        <v>191</v>
      </c>
      <c r="E3" s="55"/>
      <c r="F3" s="55"/>
      <c r="G3" s="55"/>
    </row>
    <row r="7" spans="2:7" ht="21" x14ac:dyDescent="0.35">
      <c r="B7" s="62" t="s">
        <v>195</v>
      </c>
      <c r="C7" s="62"/>
      <c r="D7" s="62"/>
      <c r="E7" s="62"/>
      <c r="F7" s="62"/>
      <c r="G7" s="62"/>
    </row>
    <row r="8" spans="2:7" x14ac:dyDescent="0.25">
      <c r="B8" s="48"/>
      <c r="C8" s="48"/>
      <c r="D8" s="48"/>
      <c r="E8" s="48"/>
      <c r="F8" s="48"/>
      <c r="G8" s="48"/>
    </row>
    <row r="9" spans="2:7" x14ac:dyDescent="0.25">
      <c r="B9" s="63" t="s">
        <v>196</v>
      </c>
      <c r="C9" s="63" t="s">
        <v>197</v>
      </c>
      <c r="D9" s="63" t="s">
        <v>198</v>
      </c>
      <c r="E9" s="63" t="s">
        <v>199</v>
      </c>
    </row>
    <row r="10" spans="2:7" x14ac:dyDescent="0.25">
      <c r="B10" s="63"/>
      <c r="C10" s="63"/>
      <c r="D10" s="63"/>
      <c r="E10" s="63"/>
    </row>
    <row r="11" spans="2:7" ht="18" x14ac:dyDescent="0.35">
      <c r="B11" s="20"/>
      <c r="C11" s="47" t="s">
        <v>24</v>
      </c>
      <c r="D11" s="47" t="s">
        <v>200</v>
      </c>
      <c r="E11" s="47" t="s">
        <v>201</v>
      </c>
    </row>
    <row r="12" spans="2:7" x14ac:dyDescent="0.25">
      <c r="B12" s="49" t="s">
        <v>22</v>
      </c>
      <c r="C12" s="50">
        <v>36000</v>
      </c>
      <c r="D12" s="51">
        <f>VLOOKUP(B12,Gorivo!$B$9:$C$23,2,FALSE)</f>
        <v>4.9000000000000002E-2</v>
      </c>
      <c r="E12" s="52">
        <f>IF(B12&lt;&gt;"Gorivo",C12*D12,"")</f>
        <v>1764</v>
      </c>
    </row>
    <row r="13" spans="2:7" x14ac:dyDescent="0.25">
      <c r="B13" s="49" t="s">
        <v>20</v>
      </c>
      <c r="C13" s="50">
        <v>6000</v>
      </c>
      <c r="D13" s="51">
        <f>VLOOKUP(B13,Gorivo!$B$9:$C$23,2,FALSE)</f>
        <v>0.4</v>
      </c>
      <c r="E13" s="52">
        <f t="shared" ref="E13:E17" si="0">IF(B13&lt;&gt;"Gorivo",C13*D13,"")</f>
        <v>2400</v>
      </c>
    </row>
    <row r="14" spans="2:7" x14ac:dyDescent="0.25">
      <c r="B14" s="49" t="s">
        <v>202</v>
      </c>
      <c r="C14" s="50"/>
      <c r="D14" s="51">
        <f>VLOOKUP(B14,Gorivo!$B$9:$C$23,2,FALSE)</f>
        <v>0</v>
      </c>
      <c r="E14" s="52" t="str">
        <f t="shared" si="0"/>
        <v/>
      </c>
    </row>
    <row r="15" spans="2:7" x14ac:dyDescent="0.25">
      <c r="B15" s="49" t="s">
        <v>202</v>
      </c>
      <c r="C15" s="50"/>
      <c r="D15" s="51">
        <f>VLOOKUP(B15,Gorivo!$B$9:$C$23,2,FALSE)</f>
        <v>0</v>
      </c>
      <c r="E15" s="52" t="str">
        <f t="shared" si="0"/>
        <v/>
      </c>
    </row>
    <row r="16" spans="2:7" x14ac:dyDescent="0.25">
      <c r="B16" s="49" t="s">
        <v>202</v>
      </c>
      <c r="C16" s="50"/>
      <c r="D16" s="51">
        <f>VLOOKUP(B16,Gorivo!$B$9:$C$23,2,FALSE)</f>
        <v>0</v>
      </c>
      <c r="E16" s="52" t="str">
        <f t="shared" si="0"/>
        <v/>
      </c>
    </row>
    <row r="17" spans="2:5" x14ac:dyDescent="0.25">
      <c r="B17" s="49" t="s">
        <v>202</v>
      </c>
      <c r="C17" s="50"/>
      <c r="D17" s="51">
        <f>VLOOKUP(B17,Gorivo!$B$9:$C$23,2,FALSE)</f>
        <v>0</v>
      </c>
      <c r="E17" s="52" t="str">
        <f t="shared" si="0"/>
        <v/>
      </c>
    </row>
    <row r="18" spans="2:5" x14ac:dyDescent="0.25">
      <c r="B18" s="20" t="s">
        <v>81</v>
      </c>
      <c r="C18" s="52">
        <f>SUM(C12:C17)</f>
        <v>42000</v>
      </c>
      <c r="D18" s="51"/>
      <c r="E18" s="52">
        <f>SUM(E12:E17)</f>
        <v>4164</v>
      </c>
    </row>
    <row r="20" spans="2:5" ht="18" x14ac:dyDescent="0.35">
      <c r="B20" s="61" t="s">
        <v>203</v>
      </c>
      <c r="C20" s="61"/>
      <c r="D20" s="61"/>
      <c r="E20" s="47" t="s">
        <v>204</v>
      </c>
    </row>
    <row r="21" spans="2:5" x14ac:dyDescent="0.25">
      <c r="B21" s="61"/>
      <c r="C21" s="61"/>
      <c r="D21" s="61"/>
      <c r="E21" s="53">
        <f>E18/C18</f>
        <v>9.9142857142857144E-2</v>
      </c>
    </row>
  </sheetData>
  <mergeCells count="7">
    <mergeCell ref="B20:D21"/>
    <mergeCell ref="D3:G3"/>
    <mergeCell ref="B7:G7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Gorivo!$B$9:$B$23</xm:f>
          </x14:formula1>
          <xm:sqref>B12:B17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3:Q40"/>
  <sheetViews>
    <sheetView topLeftCell="D4" workbookViewId="0">
      <selection activeCell="T32" sqref="T32"/>
    </sheetView>
  </sheetViews>
  <sheetFormatPr defaultRowHeight="15" x14ac:dyDescent="0.25"/>
  <cols>
    <col min="3" max="3" width="36.42578125" customWidth="1"/>
    <col min="8" max="8" width="10.28515625" customWidth="1"/>
    <col min="11" max="11" width="9.140625" customWidth="1"/>
    <col min="14" max="14" width="10.140625" customWidth="1"/>
  </cols>
  <sheetData>
    <row r="3" spans="2:15" ht="16.5" x14ac:dyDescent="0.35">
      <c r="D3" s="55" t="s">
        <v>191</v>
      </c>
      <c r="E3" s="55"/>
      <c r="F3" s="55"/>
      <c r="G3" s="55"/>
    </row>
    <row r="7" spans="2:15" ht="15" customHeight="1" x14ac:dyDescent="0.25">
      <c r="B7" s="17" t="s">
        <v>37</v>
      </c>
      <c r="C7" t="s">
        <v>36</v>
      </c>
      <c r="F7">
        <v>1</v>
      </c>
      <c r="H7" s="20" t="s">
        <v>10</v>
      </c>
      <c r="I7" t="s">
        <v>54</v>
      </c>
      <c r="N7" s="20" t="s">
        <v>3</v>
      </c>
      <c r="O7" t="s">
        <v>4</v>
      </c>
    </row>
    <row r="8" spans="2:15" x14ac:dyDescent="0.25">
      <c r="C8" t="s">
        <v>38</v>
      </c>
      <c r="F8">
        <v>2</v>
      </c>
      <c r="I8" t="s">
        <v>55</v>
      </c>
      <c r="O8" t="s">
        <v>5</v>
      </c>
    </row>
    <row r="9" spans="2:15" x14ac:dyDescent="0.25">
      <c r="C9" t="s">
        <v>39</v>
      </c>
      <c r="F9">
        <v>3</v>
      </c>
      <c r="I9" t="s">
        <v>56</v>
      </c>
      <c r="O9" t="s">
        <v>6</v>
      </c>
    </row>
    <row r="10" spans="2:15" x14ac:dyDescent="0.25">
      <c r="C10" t="s">
        <v>40</v>
      </c>
      <c r="F10">
        <v>4</v>
      </c>
      <c r="I10" t="s">
        <v>57</v>
      </c>
      <c r="O10" t="s">
        <v>7</v>
      </c>
    </row>
    <row r="11" spans="2:15" x14ac:dyDescent="0.25">
      <c r="C11" t="s">
        <v>41</v>
      </c>
      <c r="F11">
        <v>5</v>
      </c>
      <c r="I11" t="s">
        <v>58</v>
      </c>
      <c r="O11" t="s">
        <v>8</v>
      </c>
    </row>
    <row r="12" spans="2:15" x14ac:dyDescent="0.25">
      <c r="C12" t="s">
        <v>42</v>
      </c>
      <c r="F12">
        <v>6</v>
      </c>
      <c r="I12" t="s">
        <v>59</v>
      </c>
      <c r="O12" t="s">
        <v>32</v>
      </c>
    </row>
    <row r="13" spans="2:15" x14ac:dyDescent="0.25">
      <c r="C13" t="s">
        <v>43</v>
      </c>
      <c r="F13">
        <v>7</v>
      </c>
      <c r="I13" t="s">
        <v>131</v>
      </c>
    </row>
    <row r="14" spans="2:15" x14ac:dyDescent="0.25">
      <c r="C14" t="s">
        <v>44</v>
      </c>
      <c r="F14">
        <v>8</v>
      </c>
      <c r="I14" t="s">
        <v>60</v>
      </c>
    </row>
    <row r="15" spans="2:15" x14ac:dyDescent="0.25">
      <c r="C15" t="s">
        <v>45</v>
      </c>
      <c r="F15">
        <v>9</v>
      </c>
      <c r="H15" s="12"/>
      <c r="I15" t="s">
        <v>63</v>
      </c>
      <c r="N15" s="20" t="s">
        <v>9</v>
      </c>
      <c r="O15" t="s">
        <v>65</v>
      </c>
    </row>
    <row r="16" spans="2:15" x14ac:dyDescent="0.25">
      <c r="C16" t="s">
        <v>46</v>
      </c>
      <c r="F16">
        <v>10</v>
      </c>
      <c r="H16" s="12"/>
      <c r="I16" t="s">
        <v>62</v>
      </c>
      <c r="O16" t="s">
        <v>66</v>
      </c>
    </row>
    <row r="17" spans="3:17" x14ac:dyDescent="0.25">
      <c r="C17" t="s">
        <v>47</v>
      </c>
      <c r="F17">
        <v>11</v>
      </c>
      <c r="I17" t="s">
        <v>64</v>
      </c>
      <c r="O17" t="s">
        <v>67</v>
      </c>
    </row>
    <row r="18" spans="3:17" x14ac:dyDescent="0.25">
      <c r="C18" t="s">
        <v>48</v>
      </c>
      <c r="F18">
        <v>12</v>
      </c>
      <c r="I18" t="s">
        <v>61</v>
      </c>
      <c r="O18" t="s">
        <v>68</v>
      </c>
    </row>
    <row r="19" spans="3:17" ht="18" x14ac:dyDescent="0.35">
      <c r="C19" t="s">
        <v>49</v>
      </c>
      <c r="F19">
        <v>13</v>
      </c>
      <c r="O19" t="s">
        <v>69</v>
      </c>
    </row>
    <row r="20" spans="3:17" x14ac:dyDescent="0.25">
      <c r="C20" t="s">
        <v>50</v>
      </c>
      <c r="F20">
        <v>14</v>
      </c>
    </row>
    <row r="21" spans="3:17" ht="18" x14ac:dyDescent="0.35">
      <c r="C21" t="s">
        <v>51</v>
      </c>
      <c r="F21">
        <v>15</v>
      </c>
      <c r="H21" s="64" t="s">
        <v>150</v>
      </c>
      <c r="I21" s="64"/>
      <c r="J21" s="64"/>
      <c r="N21" s="20" t="s">
        <v>11</v>
      </c>
      <c r="O21" t="s">
        <v>70</v>
      </c>
    </row>
    <row r="22" spans="3:17" x14ac:dyDescent="0.25">
      <c r="C22" t="s">
        <v>52</v>
      </c>
      <c r="F22">
        <v>16</v>
      </c>
      <c r="I22" t="s">
        <v>151</v>
      </c>
      <c r="K22" s="3">
        <f>+SUM(UnosPodataka!F25:F29)</f>
        <v>10000</v>
      </c>
      <c r="L22" s="19">
        <v>0</v>
      </c>
      <c r="O22" t="s">
        <v>71</v>
      </c>
    </row>
    <row r="23" spans="3:17" x14ac:dyDescent="0.25">
      <c r="C23" t="s">
        <v>53</v>
      </c>
      <c r="F23">
        <v>17</v>
      </c>
      <c r="I23" t="s">
        <v>152</v>
      </c>
      <c r="K23" s="3">
        <f>+Loan</f>
        <v>77700</v>
      </c>
      <c r="L23" s="19">
        <f>+UnosPodataka!M23</f>
        <v>0.12</v>
      </c>
      <c r="O23" t="s">
        <v>72</v>
      </c>
    </row>
    <row r="24" spans="3:17" x14ac:dyDescent="0.25">
      <c r="C24" t="s">
        <v>130</v>
      </c>
      <c r="F24">
        <v>18</v>
      </c>
      <c r="I24" t="s">
        <v>32</v>
      </c>
      <c r="K24" s="3">
        <f>+Equity</f>
        <v>6300</v>
      </c>
      <c r="L24" s="7">
        <f>+UnosPodataka!M24</f>
        <v>5.8299999999999998E-2</v>
      </c>
      <c r="O24" t="s">
        <v>73</v>
      </c>
    </row>
    <row r="25" spans="3:17" x14ac:dyDescent="0.25">
      <c r="C25" s="16">
        <f>VLOOKUP(Pocetna!M12,C7:F23,4,FALSE)</f>
        <v>11</v>
      </c>
      <c r="J25" t="s">
        <v>153</v>
      </c>
      <c r="K25" s="3">
        <f>SUM(K22:K24)</f>
        <v>94000</v>
      </c>
      <c r="L25" s="7">
        <f>+(K22*L22+K23*L23+K24*L24)/K25</f>
        <v>0.10309882978723406</v>
      </c>
      <c r="O25" t="s">
        <v>75</v>
      </c>
    </row>
    <row r="26" spans="3:17" x14ac:dyDescent="0.25">
      <c r="C26" s="11"/>
      <c r="O26" t="s">
        <v>154</v>
      </c>
    </row>
    <row r="27" spans="3:17" x14ac:dyDescent="0.25">
      <c r="O27" t="s">
        <v>74</v>
      </c>
    </row>
    <row r="28" spans="3:17" x14ac:dyDescent="0.25">
      <c r="C28" s="27"/>
    </row>
    <row r="29" spans="3:17" x14ac:dyDescent="0.25">
      <c r="C29" s="28"/>
      <c r="N29" s="20" t="s">
        <v>12</v>
      </c>
      <c r="O29" t="s">
        <v>13</v>
      </c>
      <c r="Q29" s="3">
        <v>0.2</v>
      </c>
    </row>
    <row r="30" spans="3:17" x14ac:dyDescent="0.25">
      <c r="O30" t="s">
        <v>14</v>
      </c>
      <c r="Q30" s="3">
        <v>0.22</v>
      </c>
    </row>
    <row r="31" spans="3:17" x14ac:dyDescent="0.25">
      <c r="O31" t="s">
        <v>15</v>
      </c>
      <c r="Q31" s="3">
        <v>0.27</v>
      </c>
    </row>
    <row r="32" spans="3:17" x14ac:dyDescent="0.25">
      <c r="O32" t="s">
        <v>16</v>
      </c>
      <c r="Q32" s="3">
        <v>0.28000000000000003</v>
      </c>
    </row>
    <row r="33" spans="15:17" x14ac:dyDescent="0.25">
      <c r="O33" t="s">
        <v>17</v>
      </c>
      <c r="Q33" s="3">
        <v>0.8</v>
      </c>
    </row>
    <row r="34" spans="15:17" x14ac:dyDescent="0.25">
      <c r="O34" t="s">
        <v>18</v>
      </c>
      <c r="Q34" s="3">
        <v>0.49399999999999999</v>
      </c>
    </row>
    <row r="35" spans="15:17" x14ac:dyDescent="0.25">
      <c r="O35" t="s">
        <v>22</v>
      </c>
      <c r="Q35" s="3">
        <v>4.9000000000000002E-2</v>
      </c>
    </row>
    <row r="36" spans="15:17" x14ac:dyDescent="0.25">
      <c r="O36" t="s">
        <v>19</v>
      </c>
      <c r="Q36" s="3">
        <v>0.4</v>
      </c>
    </row>
    <row r="37" spans="15:17" x14ac:dyDescent="0.25">
      <c r="O37" t="s">
        <v>20</v>
      </c>
      <c r="Q37" s="3">
        <v>0.33</v>
      </c>
    </row>
    <row r="38" spans="15:17" x14ac:dyDescent="0.25">
      <c r="O38" t="s">
        <v>21</v>
      </c>
      <c r="Q38" s="3">
        <v>0</v>
      </c>
    </row>
    <row r="39" spans="15:17" x14ac:dyDescent="0.25">
      <c r="O39" t="s">
        <v>138</v>
      </c>
      <c r="Q39" s="8">
        <f>KonvFaktor!E21</f>
        <v>9.9142857142857144E-2</v>
      </c>
    </row>
    <row r="40" spans="15:17" x14ac:dyDescent="0.25">
      <c r="O40" t="s">
        <v>215</v>
      </c>
      <c r="Q40" s="3">
        <v>0.22</v>
      </c>
    </row>
  </sheetData>
  <sheetProtection selectLockedCells="1"/>
  <mergeCells count="2">
    <mergeCell ref="H21:J21"/>
    <mergeCell ref="D3:G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P34"/>
  <sheetViews>
    <sheetView workbookViewId="0">
      <selection activeCell="T24" sqref="T24"/>
    </sheetView>
  </sheetViews>
  <sheetFormatPr defaultRowHeight="15" x14ac:dyDescent="0.25"/>
  <cols>
    <col min="5" max="5" width="23.42578125" customWidth="1"/>
    <col min="6" max="6" width="15.28515625" customWidth="1"/>
    <col min="7" max="7" width="0" hidden="1" customWidth="1"/>
    <col min="12" max="12" width="19.85546875" customWidth="1"/>
    <col min="13" max="13" width="14" customWidth="1"/>
  </cols>
  <sheetData>
    <row r="3" spans="2:16" ht="16.5" x14ac:dyDescent="0.35">
      <c r="F3" s="55" t="s">
        <v>191</v>
      </c>
      <c r="G3" s="55"/>
      <c r="H3" s="55"/>
      <c r="I3" s="55"/>
    </row>
    <row r="7" spans="2:16" x14ac:dyDescent="0.25">
      <c r="B7" s="67" t="s">
        <v>76</v>
      </c>
      <c r="C7" s="67"/>
      <c r="D7" s="67"/>
      <c r="E7" s="67"/>
      <c r="F7" s="1" t="s">
        <v>1</v>
      </c>
      <c r="I7" s="66" t="s">
        <v>76</v>
      </c>
      <c r="J7" s="66"/>
      <c r="K7" s="66"/>
      <c r="L7" s="66"/>
      <c r="M7" s="2" t="s">
        <v>23</v>
      </c>
    </row>
    <row r="8" spans="2:16" x14ac:dyDescent="0.25">
      <c r="O8" s="59" t="s">
        <v>136</v>
      </c>
      <c r="P8" s="59"/>
    </row>
    <row r="9" spans="2:16" x14ac:dyDescent="0.25">
      <c r="B9" s="65" t="s">
        <v>54</v>
      </c>
      <c r="C9" s="65"/>
      <c r="D9" s="65"/>
      <c r="E9" s="65"/>
      <c r="F9" s="9">
        <v>2500</v>
      </c>
      <c r="G9" s="31">
        <f t="shared" ref="G9:G20" si="0">+F9/Investment</f>
        <v>2.6595744680851064E-2</v>
      </c>
      <c r="I9" s="65" t="s">
        <v>65</v>
      </c>
      <c r="J9" s="65"/>
      <c r="K9" s="65"/>
      <c r="L9" s="65"/>
      <c r="M9" s="9">
        <v>100</v>
      </c>
      <c r="O9" s="59"/>
      <c r="P9" s="59"/>
    </row>
    <row r="10" spans="2:16" x14ac:dyDescent="0.25">
      <c r="B10" s="65" t="s">
        <v>55</v>
      </c>
      <c r="C10" s="65"/>
      <c r="D10" s="65"/>
      <c r="E10" s="65"/>
      <c r="F10" s="9">
        <v>1000</v>
      </c>
      <c r="G10" s="31">
        <f t="shared" si="0"/>
        <v>1.0638297872340425E-2</v>
      </c>
      <c r="I10" s="65" t="s">
        <v>66</v>
      </c>
      <c r="J10" s="65"/>
      <c r="K10" s="65"/>
      <c r="L10" s="65"/>
      <c r="M10" s="7">
        <v>1</v>
      </c>
    </row>
    <row r="11" spans="2:16" x14ac:dyDescent="0.25">
      <c r="B11" s="65" t="s">
        <v>56</v>
      </c>
      <c r="C11" s="65"/>
      <c r="D11" s="65"/>
      <c r="E11" s="65"/>
      <c r="F11" s="9">
        <v>75000</v>
      </c>
      <c r="G11" s="31">
        <f t="shared" si="0"/>
        <v>0.7978723404255319</v>
      </c>
      <c r="I11" s="65" t="s">
        <v>67</v>
      </c>
      <c r="J11" s="65"/>
      <c r="K11" s="65"/>
      <c r="L11" s="65"/>
      <c r="M11" s="24">
        <v>1.4999999999999999E-2</v>
      </c>
      <c r="O11" s="60" t="s">
        <v>137</v>
      </c>
      <c r="P11" s="60"/>
    </row>
    <row r="12" spans="2:16" x14ac:dyDescent="0.25">
      <c r="B12" s="65" t="s">
        <v>57</v>
      </c>
      <c r="C12" s="65"/>
      <c r="D12" s="65"/>
      <c r="E12" s="65"/>
      <c r="F12" s="9">
        <v>3500</v>
      </c>
      <c r="G12" s="31">
        <f t="shared" si="0"/>
        <v>3.7234042553191488E-2</v>
      </c>
      <c r="I12" s="65" t="s">
        <v>68</v>
      </c>
      <c r="J12" s="65"/>
      <c r="K12" s="65"/>
      <c r="L12" s="65"/>
      <c r="M12" s="24">
        <v>0.1</v>
      </c>
      <c r="O12" s="60"/>
      <c r="P12" s="60"/>
    </row>
    <row r="13" spans="2:16" x14ac:dyDescent="0.25">
      <c r="B13" s="65" t="s">
        <v>58</v>
      </c>
      <c r="C13" s="65"/>
      <c r="D13" s="65"/>
      <c r="E13" s="65"/>
      <c r="F13" s="9">
        <v>2500</v>
      </c>
      <c r="G13" s="31">
        <f t="shared" si="0"/>
        <v>2.6595744680851064E-2</v>
      </c>
      <c r="I13" s="65" t="s">
        <v>77</v>
      </c>
      <c r="J13" s="65"/>
      <c r="K13" s="65"/>
      <c r="L13" s="65"/>
      <c r="M13" s="25">
        <v>97.44</v>
      </c>
    </row>
    <row r="14" spans="2:16" x14ac:dyDescent="0.25">
      <c r="B14" s="65" t="s">
        <v>59</v>
      </c>
      <c r="C14" s="65"/>
      <c r="D14" s="65"/>
      <c r="E14" s="65"/>
      <c r="F14" s="9">
        <v>2700</v>
      </c>
      <c r="G14" s="31">
        <f t="shared" si="0"/>
        <v>2.8723404255319149E-2</v>
      </c>
      <c r="I14" s="21"/>
      <c r="J14" s="21"/>
      <c r="K14" s="21"/>
      <c r="L14" s="21"/>
      <c r="M14" s="8"/>
    </row>
    <row r="15" spans="2:16" x14ac:dyDescent="0.25">
      <c r="B15" s="65" t="s">
        <v>131</v>
      </c>
      <c r="C15" s="65"/>
      <c r="D15" s="65"/>
      <c r="E15" s="65"/>
      <c r="F15" s="9">
        <v>1300</v>
      </c>
      <c r="G15" s="31">
        <f t="shared" si="0"/>
        <v>1.3829787234042552E-2</v>
      </c>
      <c r="I15" s="21"/>
      <c r="J15" s="21"/>
      <c r="K15" s="21"/>
      <c r="L15" s="21"/>
      <c r="M15" s="8"/>
    </row>
    <row r="16" spans="2:16" x14ac:dyDescent="0.25">
      <c r="B16" s="65" t="s">
        <v>60</v>
      </c>
      <c r="C16" s="65"/>
      <c r="D16" s="65"/>
      <c r="E16" s="65"/>
      <c r="F16" s="9">
        <v>1000</v>
      </c>
      <c r="G16" s="31">
        <f t="shared" si="0"/>
        <v>1.0638297872340425E-2</v>
      </c>
      <c r="I16" s="21"/>
      <c r="J16" s="21"/>
      <c r="K16" s="21"/>
      <c r="L16" s="21"/>
      <c r="M16" s="8"/>
    </row>
    <row r="17" spans="2:13" x14ac:dyDescent="0.25">
      <c r="B17" s="65" t="s">
        <v>63</v>
      </c>
      <c r="C17" s="65"/>
      <c r="D17" s="65"/>
      <c r="E17" s="65"/>
      <c r="F17" s="9">
        <v>1000</v>
      </c>
      <c r="G17" s="31">
        <f t="shared" si="0"/>
        <v>1.0638297872340425E-2</v>
      </c>
      <c r="I17" s="21"/>
      <c r="J17" s="21"/>
      <c r="K17" s="21"/>
      <c r="L17" s="21"/>
      <c r="M17" s="8"/>
    </row>
    <row r="18" spans="2:13" x14ac:dyDescent="0.25">
      <c r="B18" s="65" t="s">
        <v>62</v>
      </c>
      <c r="C18" s="65"/>
      <c r="D18" s="65"/>
      <c r="E18" s="65"/>
      <c r="F18" s="9">
        <v>2000</v>
      </c>
      <c r="G18" s="31">
        <f t="shared" si="0"/>
        <v>2.1276595744680851E-2</v>
      </c>
      <c r="I18" s="21"/>
      <c r="J18" s="21"/>
      <c r="K18" s="21"/>
      <c r="L18" s="21"/>
      <c r="M18" s="8"/>
    </row>
    <row r="19" spans="2:13" x14ac:dyDescent="0.25">
      <c r="B19" s="65" t="s">
        <v>64</v>
      </c>
      <c r="C19" s="65"/>
      <c r="D19" s="65"/>
      <c r="E19" s="65"/>
      <c r="F19" s="9">
        <v>500</v>
      </c>
      <c r="G19" s="31">
        <f t="shared" si="0"/>
        <v>5.3191489361702126E-3</v>
      </c>
      <c r="I19" s="21"/>
      <c r="J19" s="21"/>
      <c r="K19" s="21"/>
      <c r="L19" s="21"/>
      <c r="M19" s="8"/>
    </row>
    <row r="20" spans="2:13" x14ac:dyDescent="0.25">
      <c r="B20" s="65" t="s">
        <v>61</v>
      </c>
      <c r="C20" s="65"/>
      <c r="D20" s="65"/>
      <c r="E20" s="65"/>
      <c r="F20" s="9">
        <v>1000</v>
      </c>
      <c r="G20" s="31">
        <f t="shared" si="0"/>
        <v>1.0638297872340425E-2</v>
      </c>
      <c r="I20" s="21"/>
      <c r="J20" s="21"/>
      <c r="K20" s="21"/>
      <c r="L20" s="21"/>
      <c r="M20" s="8"/>
    </row>
    <row r="21" spans="2:13" x14ac:dyDescent="0.25">
      <c r="B21" s="65"/>
      <c r="C21" s="65"/>
      <c r="D21" s="65"/>
      <c r="E21" s="65"/>
      <c r="F21" s="9"/>
      <c r="G21" s="21"/>
      <c r="I21" s="68"/>
      <c r="J21" s="68"/>
      <c r="K21" s="68"/>
      <c r="L21" s="68"/>
      <c r="M21" s="7"/>
    </row>
    <row r="22" spans="2:13" x14ac:dyDescent="0.25">
      <c r="B22" s="65"/>
      <c r="C22" s="65"/>
      <c r="D22" s="65"/>
      <c r="E22" s="65"/>
      <c r="F22" s="9"/>
      <c r="G22" s="21"/>
      <c r="I22" s="65" t="s">
        <v>73</v>
      </c>
      <c r="J22" s="65"/>
      <c r="K22" s="65"/>
      <c r="L22" s="65"/>
      <c r="M22" s="24">
        <v>0.06</v>
      </c>
    </row>
    <row r="23" spans="2:13" x14ac:dyDescent="0.25">
      <c r="E23" s="4" t="s">
        <v>79</v>
      </c>
      <c r="F23" s="3">
        <f>SUM(F9:F22)</f>
        <v>94000</v>
      </c>
      <c r="G23" s="31">
        <f>+F23/Investment</f>
        <v>1</v>
      </c>
      <c r="I23" s="65" t="s">
        <v>75</v>
      </c>
      <c r="J23" s="65"/>
      <c r="K23" s="65"/>
      <c r="L23" s="65"/>
      <c r="M23" s="7">
        <v>0.12</v>
      </c>
    </row>
    <row r="24" spans="2:13" x14ac:dyDescent="0.25">
      <c r="E24" s="4" t="s">
        <v>80</v>
      </c>
      <c r="F24" s="3">
        <f>F23*(1+PDV)</f>
        <v>112800</v>
      </c>
      <c r="G24" s="31">
        <f>+F24/Investment</f>
        <v>1.2</v>
      </c>
      <c r="I24" s="65" t="s">
        <v>154</v>
      </c>
      <c r="J24" s="65"/>
      <c r="K24" s="65"/>
      <c r="L24" s="65"/>
      <c r="M24" s="7">
        <v>5.8299999999999998E-2</v>
      </c>
    </row>
    <row r="25" spans="2:13" x14ac:dyDescent="0.25">
      <c r="B25" s="65" t="s">
        <v>6</v>
      </c>
      <c r="C25" s="65"/>
      <c r="D25" s="65"/>
      <c r="E25" s="65"/>
      <c r="F25" s="3">
        <v>10000</v>
      </c>
      <c r="G25" s="31">
        <f>+F25/Investment</f>
        <v>0.10638297872340426</v>
      </c>
      <c r="I25" s="65" t="s">
        <v>71</v>
      </c>
      <c r="J25" s="65"/>
      <c r="K25" s="65"/>
      <c r="L25" s="65"/>
      <c r="M25" s="26">
        <v>12</v>
      </c>
    </row>
    <row r="26" spans="2:13" x14ac:dyDescent="0.25">
      <c r="B26" s="65"/>
      <c r="C26" s="65"/>
      <c r="D26" s="65"/>
      <c r="E26" s="65"/>
      <c r="F26" s="3"/>
      <c r="G26" s="21"/>
      <c r="I26" s="65" t="s">
        <v>74</v>
      </c>
      <c r="J26" s="65"/>
      <c r="K26" s="65"/>
      <c r="L26" s="65"/>
      <c r="M26" s="9" t="s">
        <v>138</v>
      </c>
    </row>
    <row r="27" spans="2:13" x14ac:dyDescent="0.25">
      <c r="B27" s="65"/>
      <c r="C27" s="65"/>
      <c r="D27" s="65"/>
      <c r="E27" s="65"/>
      <c r="F27" s="3"/>
      <c r="G27" s="21"/>
      <c r="I27" s="65" t="s">
        <v>78</v>
      </c>
      <c r="J27" s="65"/>
      <c r="K27" s="65"/>
      <c r="L27" s="65"/>
      <c r="M27" s="3">
        <f>VLOOKUP(M26,PomTab1!O29:Q40,3,FALSE)</f>
        <v>9.9142857142857144E-2</v>
      </c>
    </row>
    <row r="28" spans="2:13" x14ac:dyDescent="0.25">
      <c r="B28" s="65"/>
      <c r="C28" s="65"/>
      <c r="D28" s="65"/>
      <c r="E28" s="65"/>
      <c r="G28" s="21"/>
      <c r="I28" s="65" t="s">
        <v>72</v>
      </c>
      <c r="J28" s="65"/>
      <c r="K28" s="65"/>
      <c r="L28" s="65"/>
      <c r="M28" s="10">
        <v>20</v>
      </c>
    </row>
    <row r="29" spans="2:13" x14ac:dyDescent="0.25">
      <c r="B29" s="65"/>
      <c r="C29" s="65"/>
      <c r="D29" s="65"/>
      <c r="E29" s="65"/>
      <c r="G29" s="21"/>
    </row>
    <row r="30" spans="2:13" x14ac:dyDescent="0.25">
      <c r="B30" s="65" t="s">
        <v>32</v>
      </c>
      <c r="C30" s="65"/>
      <c r="D30" s="65"/>
      <c r="E30" s="65"/>
      <c r="F30" s="3">
        <v>6300</v>
      </c>
      <c r="G30" s="31">
        <f>+F30/Investment</f>
        <v>6.702127659574468E-2</v>
      </c>
      <c r="I30" s="65"/>
      <c r="J30" s="65"/>
      <c r="K30" s="65"/>
      <c r="L30" s="65"/>
      <c r="M30" s="13"/>
    </row>
    <row r="31" spans="2:13" x14ac:dyDescent="0.25">
      <c r="E31" s="5" t="s">
        <v>81</v>
      </c>
      <c r="F31" s="3">
        <f>IF(SUM(F25:F30)&gt;F23,FALSE,SUM(F25:F30))</f>
        <v>16300</v>
      </c>
      <c r="G31" s="31">
        <f>+F31/Investment</f>
        <v>0.17340425531914894</v>
      </c>
      <c r="I31" s="65"/>
      <c r="J31" s="65"/>
      <c r="K31" s="65"/>
      <c r="L31" s="65"/>
      <c r="M31" s="3"/>
    </row>
    <row r="32" spans="2:13" x14ac:dyDescent="0.25">
      <c r="F32" s="3"/>
      <c r="G32" s="31"/>
      <c r="I32" s="65"/>
      <c r="J32" s="65"/>
      <c r="K32" s="65"/>
      <c r="L32" s="65"/>
      <c r="M32" s="13"/>
    </row>
    <row r="33" spans="5:10" x14ac:dyDescent="0.25">
      <c r="E33" s="4" t="s">
        <v>82</v>
      </c>
      <c r="F33" s="3">
        <f>F23-F31</f>
        <v>77700</v>
      </c>
      <c r="G33" s="31">
        <f>+F33/Investment</f>
        <v>0.82659574468085106</v>
      </c>
    </row>
    <row r="34" spans="5:10" x14ac:dyDescent="0.25">
      <c r="J34" s="30"/>
    </row>
  </sheetData>
  <sheetProtection selectLockedCells="1"/>
  <mergeCells count="41">
    <mergeCell ref="O8:P9"/>
    <mergeCell ref="O11:P12"/>
    <mergeCell ref="I30:L30"/>
    <mergeCell ref="I31:L31"/>
    <mergeCell ref="I32:L32"/>
    <mergeCell ref="I23:L23"/>
    <mergeCell ref="I25:L25"/>
    <mergeCell ref="I26:L26"/>
    <mergeCell ref="I27:L27"/>
    <mergeCell ref="I28:L28"/>
    <mergeCell ref="I11:L11"/>
    <mergeCell ref="I12:L12"/>
    <mergeCell ref="I13:L13"/>
    <mergeCell ref="I22:L22"/>
    <mergeCell ref="I21:L21"/>
    <mergeCell ref="I24:L24"/>
    <mergeCell ref="B29:E29"/>
    <mergeCell ref="B17:E17"/>
    <mergeCell ref="B19:E19"/>
    <mergeCell ref="B18:E18"/>
    <mergeCell ref="B30:E30"/>
    <mergeCell ref="B25:E25"/>
    <mergeCell ref="B26:E26"/>
    <mergeCell ref="B27:E27"/>
    <mergeCell ref="B28:E28"/>
    <mergeCell ref="B21:E21"/>
    <mergeCell ref="B22:E22"/>
    <mergeCell ref="F3:I3"/>
    <mergeCell ref="B20:E20"/>
    <mergeCell ref="B16:E16"/>
    <mergeCell ref="B15:E15"/>
    <mergeCell ref="B14:E14"/>
    <mergeCell ref="I7:L7"/>
    <mergeCell ref="B12:E12"/>
    <mergeCell ref="B13:E13"/>
    <mergeCell ref="B7:E7"/>
    <mergeCell ref="B9:E9"/>
    <mergeCell ref="B10:E10"/>
    <mergeCell ref="B11:E11"/>
    <mergeCell ref="I9:L9"/>
    <mergeCell ref="I10:L10"/>
  </mergeCells>
  <dataValidations count="16">
    <dataValidation type="whole" allowBlank="1" showInputMessage="1" showErrorMessage="1" errorTitle="Restriction" error="Ne može biti više od 1.000.000 EUR" promptTitle="COSTSN" prompt="Unesi planirane troškove grupe pozicija" sqref="F9:F10 F12:F22">
      <formula1>0</formula1>
      <formula2>1000000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27:F29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>
      <formula1>0</formula1>
      <formula2>0.1</formula2>
    </dataValidation>
    <dataValidation allowBlank="1" showInputMessage="1" showErrorMessage="1" errorTitle="Restriction" error="Iznos ne može biti veći od 7%" promptTitle="DA" prompt="Troškovi amortizacije prema računovodstvenim standardima - za toplinske pumpe ta stopa je 10%." sqref="M12"/>
    <dataValidation type="whole" allowBlank="1" showInputMessage="1" showErrorMessage="1" errorTitle="Restriction" error="Iznos ne može biti veći od 110 EUR/t CO2" promptTitle="CO2TAX" prompt="Preporučuje se iznos 55 EUR/t CO2." sqref="M14:M20">
      <formula1>0</formula1>
      <formula2>110</formula2>
    </dataValidation>
    <dataValidation type="decimal"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22">
      <formula1>0</formula1>
      <formula2>0.1</formula2>
    </dataValidation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23"/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5">
      <formula1>0</formula1>
      <formula2>20</formula2>
    </dataValidation>
    <dataValidation type="whole" allowBlank="1" showInputMessage="1" showErrorMessage="1" errorTitle="Restriction" error="Maksimalno 20 godina" promptTitle="Vremeski okvir projekta" prompt="Preporučuje se:_x000a_7 godina za TS ventile_x000a_15 godina za SCADA_x000a_20 godina za ostalo" sqref="M28">
      <formula1>0</formula1>
      <formula2>20</formula2>
    </dataValidation>
    <dataValidation type="whole" allowBlank="1" showInputMessage="1" showErrorMessage="1" errorTitle="Restriction" error="Ne može biti više od 5.000.000 EUR" promptTitle="COSTSN" prompt="Unesi planirane troškove grupe pozicija" sqref="F11">
      <formula1>0</formula1>
      <formula2>5000000</formula2>
    </dataValidation>
    <dataValidation type="whole" allowBlank="1" showInputMessage="1" showErrorMessage="1" errorTitle="Restriction" error="Maksimalni iznos do 2.000.000 EUR" promptTitle="Grant scheme" prompt="Unesi iznos granta ili učešća krajnjih korisnika ili sopstveni kapital javne ESCO kompanije" sqref="F25:F26">
      <formula1>0</formula1>
      <formula2>2000000</formula2>
    </dataValidation>
    <dataValidation type="whole" allowBlank="1" showInputMessage="1" showErrorMessage="1" errorTitle="Restriction" error="Maksimalni iznos do 1.000.000 EUR" promptTitle="Grant scheme" prompt="Unesi iznos granta ili učešća krajnjih korisnika ili sopstveni kapital javne ESCO kompanije" sqref="F30">
      <formula1>0</formula1>
      <formula2>1000000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24"/>
  </dataValidations>
  <hyperlinks>
    <hyperlink ref="O8:P9" location="Pocetna!M9" display="NAZAD"/>
    <hyperlink ref="O11:P12" location="EnergyCosts!B2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>
          <x14:formula1>
            <xm:f>PomTab1!$O$7:$O$13</xm:f>
          </x14:formula1>
          <xm:sqref>B25:E30</xm:sqref>
        </x14:dataValidation>
        <x14:dataValidation type="list" allowBlank="1" showInputMessage="1" showErrorMessage="1" errorTitle="Restriction" error="Samo stavke ponuđene u listi" promptTitle="CO2 Tax" prompt="Iznos karbon takse">
          <x14:formula1>
            <xm:f>PomTab1!$O$15:$O$20</xm:f>
          </x14:formula1>
          <xm:sqref>I13:L20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>
          <x14:formula1>
            <xm:f>PomTab1!$O$15:$O$20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>
          <x14:formula1>
            <xm:f>PomTab1!$O$15:$O$20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>
          <x14:formula1>
            <xm:f>PomTab1!$O$15:$O$20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>
          <x14:formula1>
            <xm:f>PomTab1!$O$15:$O$20</xm:f>
          </x14:formula1>
          <xm:sqref>I12:L12</xm:sqref>
        </x14:dataValidation>
        <x14:dataValidation type="list" allowBlank="1" showInputMessage="1" showErrorMessage="1" errorTitle="Restriction" error="Izabrati sa liste" promptTitle="FUELENERGY" prompt="Vrsta goriva ili energije">
          <x14:formula1>
            <xm:f>PomTab1!$O$29:$O$39</xm:f>
          </x14:formula1>
          <xm:sqref>M26</xm:sqref>
        </x14:dataValidation>
        <x14:dataValidation type="list" allowBlank="1" showInputMessage="1" showErrorMessage="1" errorTitle="Restriction" error="Moguće je uneti samo ponuđene opcije" promptTitle="Costs" prompt="Unesi troškove projekta">
          <x14:formula1>
            <xm:f>PomTab1!$I$7:$I$20</xm:f>
          </x14:formula1>
          <xm:sqref>B9:B22 C9:E17 C19:E22</xm:sqref>
        </x14:dataValidation>
        <x14:dataValidation type="list" allowBlank="1" showInputMessage="1" showErrorMessage="1" errorTitle="Restriction" error="Može se izabrati samo ponuđena opcija." promptTitle="Time frame" prompt="Ne popunjavati">
          <x14:formula1>
            <xm:f>PomTab1!$O$21:$O$27</xm:f>
          </x14:formula1>
          <xm:sqref>I28:L28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PomTab1!$O$21:$O$27</xm:f>
          </x14:formula1>
          <xm:sqref>I23:I24 J23:L23</xm:sqref>
        </x14:dataValidation>
        <x14:dataValidation type="list" allowBlank="1" showInputMessage="1" showErrorMessage="1" errorTitle="Restriction" error="Može se izabrati samo ponuđena opcija." promptTitle="Discount rate" prompt="Diskontna stopa">
          <x14:formula1>
            <xm:f>PomTab1!$O$21:$O$27</xm:f>
          </x14:formula1>
          <xm:sqref>I22:L22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>
          <x14:formula1>
            <xm:f>PomTab1!$O$21:$O$27</xm:f>
          </x14:formula1>
          <xm:sqref>I25:L25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>
          <x14:formula1>
            <xm:f>PomTab1!$O$21:$O$27</xm:f>
          </x14:formula1>
          <xm:sqref>I26:L27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B3:R24"/>
  <sheetViews>
    <sheetView workbookViewId="0">
      <selection activeCell="J10" sqref="J10"/>
    </sheetView>
  </sheetViews>
  <sheetFormatPr defaultRowHeight="15" x14ac:dyDescent="0.25"/>
  <cols>
    <col min="9" max="9" width="10.28515625" customWidth="1"/>
    <col min="10" max="10" width="14" customWidth="1"/>
    <col min="11" max="11" width="7.85546875" customWidth="1"/>
    <col min="12" max="12" width="14.28515625" customWidth="1"/>
  </cols>
  <sheetData>
    <row r="3" spans="2:18" ht="16.5" x14ac:dyDescent="0.35">
      <c r="G3" s="55" t="s">
        <v>191</v>
      </c>
      <c r="H3" s="55"/>
      <c r="I3" s="55"/>
      <c r="J3" s="55"/>
    </row>
    <row r="7" spans="2:18" ht="21" x14ac:dyDescent="0.35">
      <c r="B7" s="62" t="s">
        <v>83</v>
      </c>
      <c r="C7" s="62"/>
      <c r="D7" s="62"/>
      <c r="E7" s="62"/>
      <c r="F7" s="62"/>
      <c r="G7" s="62"/>
    </row>
    <row r="9" spans="2:18" x14ac:dyDescent="0.25">
      <c r="B9" s="65" t="s">
        <v>84</v>
      </c>
      <c r="C9" s="65"/>
      <c r="D9" s="65"/>
      <c r="E9" s="65"/>
      <c r="F9" s="65"/>
      <c r="G9" s="65"/>
      <c r="I9" s="6" t="s">
        <v>24</v>
      </c>
      <c r="J9" s="14">
        <v>500</v>
      </c>
      <c r="N9" s="59" t="s">
        <v>136</v>
      </c>
      <c r="O9" s="59"/>
      <c r="Q9" s="60" t="s">
        <v>137</v>
      </c>
      <c r="R9" s="60"/>
    </row>
    <row r="10" spans="2:18" x14ac:dyDescent="0.25">
      <c r="B10" s="65" t="s">
        <v>85</v>
      </c>
      <c r="C10" s="65"/>
      <c r="D10" s="65"/>
      <c r="E10" s="65"/>
      <c r="F10" s="65"/>
      <c r="G10" s="65"/>
      <c r="I10" s="6" t="s">
        <v>30</v>
      </c>
      <c r="J10" s="14">
        <v>18500</v>
      </c>
      <c r="N10" s="59"/>
      <c r="O10" s="59"/>
      <c r="Q10" s="60"/>
      <c r="R10" s="60"/>
    </row>
    <row r="11" spans="2:18" x14ac:dyDescent="0.25">
      <c r="B11" s="65" t="s">
        <v>86</v>
      </c>
      <c r="C11" s="65"/>
      <c r="D11" s="65"/>
      <c r="E11" s="65"/>
      <c r="F11" s="65"/>
      <c r="G11" s="65"/>
      <c r="I11" s="6" t="s">
        <v>30</v>
      </c>
      <c r="J11" s="14">
        <v>8900</v>
      </c>
    </row>
    <row r="12" spans="2:18" x14ac:dyDescent="0.25">
      <c r="B12" s="65" t="s">
        <v>87</v>
      </c>
      <c r="C12" s="65"/>
      <c r="D12" s="65"/>
      <c r="E12" s="65"/>
      <c r="F12" s="65"/>
      <c r="G12" s="65"/>
      <c r="I12" s="6" t="s">
        <v>31</v>
      </c>
      <c r="J12" s="14">
        <v>4</v>
      </c>
    </row>
    <row r="13" spans="2:18" x14ac:dyDescent="0.25">
      <c r="B13" s="65" t="s">
        <v>135</v>
      </c>
      <c r="C13" s="65"/>
      <c r="D13" s="65"/>
      <c r="E13" s="65"/>
      <c r="F13" s="65"/>
      <c r="G13" s="65"/>
      <c r="I13" s="6" t="s">
        <v>31</v>
      </c>
      <c r="J13" s="23">
        <v>0.9</v>
      </c>
    </row>
    <row r="14" spans="2:18" x14ac:dyDescent="0.25">
      <c r="B14" s="65" t="s">
        <v>88</v>
      </c>
      <c r="C14" s="65"/>
      <c r="D14" s="65"/>
      <c r="E14" s="65"/>
      <c r="F14" s="65"/>
      <c r="G14" s="65"/>
      <c r="I14" s="6" t="s">
        <v>33</v>
      </c>
      <c r="J14" s="14">
        <v>0.15</v>
      </c>
    </row>
    <row r="15" spans="2:18" x14ac:dyDescent="0.25">
      <c r="B15" s="65" t="s">
        <v>133</v>
      </c>
      <c r="C15" s="65"/>
      <c r="D15" s="65"/>
      <c r="E15" s="65"/>
      <c r="F15" s="65"/>
      <c r="G15" s="65"/>
      <c r="I15" s="6" t="s">
        <v>134</v>
      </c>
      <c r="J15" s="14">
        <v>3</v>
      </c>
    </row>
    <row r="16" spans="2:18" x14ac:dyDescent="0.25">
      <c r="B16" s="65" t="s">
        <v>89</v>
      </c>
      <c r="C16" s="65"/>
      <c r="D16" s="65"/>
      <c r="E16" s="65"/>
      <c r="F16" s="65"/>
      <c r="G16" s="65"/>
      <c r="I16" s="6" t="s">
        <v>31</v>
      </c>
      <c r="J16" s="14">
        <v>3600</v>
      </c>
    </row>
    <row r="17" spans="2:12" x14ac:dyDescent="0.25">
      <c r="B17" s="65" t="s">
        <v>90</v>
      </c>
      <c r="C17" s="65"/>
      <c r="D17" s="65"/>
      <c r="E17" s="65"/>
      <c r="F17" s="65"/>
      <c r="G17" s="65"/>
      <c r="I17" s="6" t="s">
        <v>24</v>
      </c>
      <c r="J17" s="14">
        <f>HEAT/eta</f>
        <v>125</v>
      </c>
    </row>
    <row r="18" spans="2:12" x14ac:dyDescent="0.25">
      <c r="B18" s="65" t="s">
        <v>91</v>
      </c>
      <c r="C18" s="65"/>
      <c r="D18" s="65"/>
      <c r="E18" s="65"/>
      <c r="F18" s="65"/>
      <c r="G18" s="65"/>
      <c r="I18" s="6" t="s">
        <v>35</v>
      </c>
      <c r="J18" s="14">
        <v>4.46</v>
      </c>
    </row>
    <row r="19" spans="2:12" x14ac:dyDescent="0.25">
      <c r="B19" s="65" t="s">
        <v>92</v>
      </c>
      <c r="C19" s="65"/>
      <c r="D19" s="65"/>
      <c r="E19" s="65"/>
      <c r="F19" s="65"/>
      <c r="G19" s="65"/>
      <c r="I19" s="6" t="s">
        <v>34</v>
      </c>
      <c r="J19" s="14">
        <v>5</v>
      </c>
    </row>
    <row r="21" spans="2:12" ht="18" x14ac:dyDescent="0.35">
      <c r="B21" t="s">
        <v>93</v>
      </c>
      <c r="I21" s="58" t="s">
        <v>17</v>
      </c>
      <c r="J21" s="58"/>
    </row>
    <row r="22" spans="2:12" x14ac:dyDescent="0.25">
      <c r="B22" s="65" t="s">
        <v>94</v>
      </c>
      <c r="C22" s="65"/>
      <c r="D22" s="65"/>
      <c r="E22" s="65"/>
      <c r="L22" t="b">
        <v>1</v>
      </c>
    </row>
    <row r="23" spans="2:12" ht="18" x14ac:dyDescent="0.35">
      <c r="B23" t="s">
        <v>155</v>
      </c>
      <c r="J23" s="8">
        <v>0.8</v>
      </c>
      <c r="L23" s="6"/>
    </row>
    <row r="24" spans="2:12" x14ac:dyDescent="0.25">
      <c r="B24" t="s">
        <v>132</v>
      </c>
    </row>
  </sheetData>
  <sheetProtection selectLockedCells="1"/>
  <mergeCells count="17">
    <mergeCell ref="N9:O10"/>
    <mergeCell ref="Q9:R10"/>
    <mergeCell ref="B22:E22"/>
    <mergeCell ref="I21:J21"/>
    <mergeCell ref="B16:G16"/>
    <mergeCell ref="B17:G17"/>
    <mergeCell ref="B18:G18"/>
    <mergeCell ref="B19:G19"/>
    <mergeCell ref="G3:J3"/>
    <mergeCell ref="B7:G7"/>
    <mergeCell ref="B15:G15"/>
    <mergeCell ref="B9:G9"/>
    <mergeCell ref="B10:G10"/>
    <mergeCell ref="B11:G11"/>
    <mergeCell ref="B12:G12"/>
    <mergeCell ref="B13:G13"/>
    <mergeCell ref="B14:G14"/>
  </mergeCells>
  <dataValidations count="2">
    <dataValidation type="whole" allowBlank="1" showInputMessage="1" showErrorMessage="1" promptTitle="WHOURS" prompt="Preporučuje se 500 - 700 za javne zgrade i toplotne pumpe vazduh/voda, 1100 - 1300 za daljinsko grejanje sa prekidom, 1300 - 1500 za daljinsko grejanje bez prekida, 3000 - 3600 za toplotne pumpe voda/voda" sqref="J16">
      <formula1>500</formula1>
      <formula2>3600</formula2>
    </dataValidation>
    <dataValidation allowBlank="1" showInputMessage="1" showErrorMessage="1" promptTitle="CenaKupci" prompt="Prema analizi TOPS-a prosečna cena koju su kupci plaćali bila je 8876 RSD/MWh toplinske energije, a medijana je iznosila 8100 RSD/MWh." sqref="J11"/>
  </dataValidations>
  <hyperlinks>
    <hyperlink ref="N9:O10" location="UnosPodataka!O3" display="NAZAD"/>
    <hyperlink ref="Q9:R10" location="Annuity!B2" display="DALJE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7" r:id="rId4" name="Check Box 5">
              <controlPr locked="0" defaultSize="0" autoFill="0" autoLine="0" autoPict="0">
                <anchor moveWithCells="1">
                  <from>
                    <xdr:col>9</xdr:col>
                    <xdr:colOff>9525</xdr:colOff>
                    <xdr:row>21</xdr:row>
                    <xdr:rowOff>9525</xdr:rowOff>
                  </from>
                  <to>
                    <xdr:col>9</xdr:col>
                    <xdr:colOff>923925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5" name="Check Box 6">
              <controlPr locked="0" defaultSize="0" autoFill="0" autoLine="0" autoPict="0">
                <anchor moveWithCells="1">
                  <from>
                    <xdr:col>9</xdr:col>
                    <xdr:colOff>9525</xdr:colOff>
                    <xdr:row>21</xdr:row>
                    <xdr:rowOff>9525</xdr:rowOff>
                  </from>
                  <to>
                    <xdr:col>9</xdr:col>
                    <xdr:colOff>923925</xdr:colOff>
                    <xdr:row>22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Restriction" error="Samo navedeno u listi" promptTitle="REFFUEL" prompt="Referentno gorivo za obračun smanjenja emisija CO2">
          <x14:formula1>
            <xm:f>PomTab1!$O$29:$O$39</xm:f>
          </x14:formula1>
          <xm:sqref>I21:J21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3:M32"/>
  <sheetViews>
    <sheetView workbookViewId="0">
      <selection activeCell="J21" sqref="J21"/>
    </sheetView>
  </sheetViews>
  <sheetFormatPr defaultRowHeight="15" x14ac:dyDescent="0.25"/>
  <cols>
    <col min="3" max="3" width="32.140625" customWidth="1"/>
    <col min="4" max="4" width="19.7109375" customWidth="1"/>
    <col min="5" max="5" width="14.140625" customWidth="1"/>
  </cols>
  <sheetData>
    <row r="3" spans="2:13" ht="16.5" x14ac:dyDescent="0.35">
      <c r="E3" s="55" t="s">
        <v>191</v>
      </c>
      <c r="F3" s="55"/>
      <c r="G3" s="55"/>
      <c r="H3" s="55"/>
    </row>
    <row r="7" spans="2:13" ht="21" x14ac:dyDescent="0.35">
      <c r="B7" s="62" t="s">
        <v>95</v>
      </c>
      <c r="C7" s="62"/>
      <c r="D7" s="62"/>
      <c r="E7" s="62"/>
      <c r="F7" s="62"/>
      <c r="G7" s="62"/>
    </row>
    <row r="9" spans="2:13" x14ac:dyDescent="0.25">
      <c r="B9" t="s">
        <v>96</v>
      </c>
      <c r="D9" s="6" t="s">
        <v>1</v>
      </c>
      <c r="E9" s="15">
        <f>Loan</f>
        <v>77700</v>
      </c>
      <c r="I9" s="59" t="s">
        <v>136</v>
      </c>
      <c r="J9" s="59"/>
      <c r="L9" s="60" t="s">
        <v>137</v>
      </c>
      <c r="M9" s="60"/>
    </row>
    <row r="10" spans="2:13" x14ac:dyDescent="0.25">
      <c r="I10" s="59"/>
      <c r="J10" s="59"/>
      <c r="L10" s="60"/>
      <c r="M10" s="60"/>
    </row>
    <row r="11" spans="2:13" x14ac:dyDescent="0.25">
      <c r="B11" s="16" t="s">
        <v>25</v>
      </c>
      <c r="C11" s="16" t="s">
        <v>97</v>
      </c>
      <c r="D11" s="16" t="s">
        <v>98</v>
      </c>
      <c r="E11" s="16" t="s">
        <v>99</v>
      </c>
    </row>
    <row r="13" spans="2:13" x14ac:dyDescent="0.25">
      <c r="B13">
        <v>1</v>
      </c>
      <c r="C13" s="3">
        <f>E9</f>
        <v>77700</v>
      </c>
      <c r="D13" s="3">
        <f>IF(UnosPodataka!M23=0,"",UnosPodataka!$M$23*Annuity!$E$9)</f>
        <v>9324</v>
      </c>
      <c r="E13" s="3">
        <f>PMT(UnosPodataka!$M$23,UnosPodataka!$M$25,Annuity!$E$9)</f>
        <v>-12543.639950053472</v>
      </c>
    </row>
    <row r="14" spans="2:13" x14ac:dyDescent="0.25">
      <c r="B14">
        <f>IF(B13&lt;UnosPodataka!$M$25,B13+1,"")</f>
        <v>2</v>
      </c>
      <c r="C14" s="3">
        <f>IF(B14&lt;&gt;"",SUM(C13:E13),"")</f>
        <v>74480.360049946525</v>
      </c>
      <c r="D14" s="3">
        <f>IF(B14&lt;&gt;"",C14*UnosPodataka!$M$23,"")</f>
        <v>8937.6432059935833</v>
      </c>
      <c r="E14" s="3">
        <f>IF(B14&lt;&gt;"",PMT(UnosPodataka!$M$23,UnosPodataka!$M$25,Annuity!$E$9),"")</f>
        <v>-12543.639950053472</v>
      </c>
    </row>
    <row r="15" spans="2:13" x14ac:dyDescent="0.25">
      <c r="B15">
        <f>IF(B14&lt;UnosPodataka!$M$25,B14+1,"")</f>
        <v>3</v>
      </c>
      <c r="C15" s="3">
        <f t="shared" ref="C15:C32" si="0">IF(B15&lt;&gt;"",SUM(C14:E14),"")</f>
        <v>70874.363305886625</v>
      </c>
      <c r="D15" s="3">
        <f>IF(B15&lt;&gt;"",C15*UnosPodataka!$M$23,"")</f>
        <v>8504.9235967063942</v>
      </c>
      <c r="E15" s="3">
        <f>IF(B15&lt;&gt;"",PMT(UnosPodataka!$M$23,UnosPodataka!$M$25,Annuity!$E$9),"")</f>
        <v>-12543.639950053472</v>
      </c>
    </row>
    <row r="16" spans="2:13" x14ac:dyDescent="0.25">
      <c r="B16">
        <f>IF(B15&lt;UnosPodataka!$M$25,B15+1,"")</f>
        <v>4</v>
      </c>
      <c r="C16" s="3">
        <f t="shared" si="0"/>
        <v>66835.646952539537</v>
      </c>
      <c r="D16" s="3">
        <f>IF(B16&lt;&gt;"",C16*UnosPodataka!$M$23,"")</f>
        <v>8020.2776343047444</v>
      </c>
      <c r="E16" s="3">
        <f>IF(B16&lt;&gt;"",PMT(UnosPodataka!$M$23,UnosPodataka!$M$25,Annuity!$E$9),"")</f>
        <v>-12543.639950053472</v>
      </c>
    </row>
    <row r="17" spans="2:5" x14ac:dyDescent="0.25">
      <c r="B17">
        <f>IF(B16&lt;UnosPodataka!$M$25,B16+1,"")</f>
        <v>5</v>
      </c>
      <c r="C17" s="3">
        <f t="shared" si="0"/>
        <v>62312.284636790806</v>
      </c>
      <c r="D17" s="3">
        <f>IF(B17&lt;&gt;"",C17*UnosPodataka!$M$23,"")</f>
        <v>7477.4741564148962</v>
      </c>
      <c r="E17" s="3">
        <f>IF(B17&lt;&gt;"",PMT(UnosPodataka!$M$23,UnosPodataka!$M$25,Annuity!$E$9),"")</f>
        <v>-12543.639950053472</v>
      </c>
    </row>
    <row r="18" spans="2:5" x14ac:dyDescent="0.25">
      <c r="B18">
        <f>IF(B17&lt;UnosPodataka!$M$25,B17+1,"")</f>
        <v>6</v>
      </c>
      <c r="C18" s="3">
        <f t="shared" si="0"/>
        <v>57246.118843152231</v>
      </c>
      <c r="D18" s="3">
        <f>IF(B18&lt;&gt;"",C18*UnosPodataka!$M$23,"")</f>
        <v>6869.5342611782671</v>
      </c>
      <c r="E18" s="3">
        <f>IF(B18&lt;&gt;"",PMT(UnosPodataka!$M$23,UnosPodataka!$M$25,Annuity!$E$9),"")</f>
        <v>-12543.639950053472</v>
      </c>
    </row>
    <row r="19" spans="2:5" x14ac:dyDescent="0.25">
      <c r="B19">
        <f>IF(B18&lt;UnosPodataka!$M$25,B18+1,"")</f>
        <v>7</v>
      </c>
      <c r="C19" s="3">
        <f t="shared" si="0"/>
        <v>51572.013154277025</v>
      </c>
      <c r="D19" s="3">
        <f>IF(B19&lt;&gt;"",C19*UnosPodataka!$M$23,"")</f>
        <v>6188.6415785132431</v>
      </c>
      <c r="E19" s="3">
        <f>IF(B19&lt;&gt;"",PMT(UnosPodataka!$M$23,UnosPodataka!$M$25,Annuity!$E$9),"")</f>
        <v>-12543.639950053472</v>
      </c>
    </row>
    <row r="20" spans="2:5" x14ac:dyDescent="0.25">
      <c r="B20">
        <f>IF(B19&lt;UnosPodataka!$M$25,B19+1,"")</f>
        <v>8</v>
      </c>
      <c r="C20" s="3">
        <f t="shared" si="0"/>
        <v>45217.014782736791</v>
      </c>
      <c r="D20" s="3">
        <f>IF(B20&lt;&gt;"",C20*UnosPodataka!$M$23,"")</f>
        <v>5426.0417739284148</v>
      </c>
      <c r="E20" s="3">
        <f>IF(B20&lt;&gt;"",PMT(UnosPodataka!$M$23,UnosPodataka!$M$25,Annuity!$E$9),"")</f>
        <v>-12543.639950053472</v>
      </c>
    </row>
    <row r="21" spans="2:5" x14ac:dyDescent="0.25">
      <c r="B21">
        <f>IF(B20&lt;UnosPodataka!$M$25,B20+1,"")</f>
        <v>9</v>
      </c>
      <c r="C21" s="3">
        <f t="shared" si="0"/>
        <v>38099.416606611732</v>
      </c>
      <c r="D21" s="3">
        <f>IF(B21&lt;&gt;"",C21*UnosPodataka!$M$23,"")</f>
        <v>4571.929992793408</v>
      </c>
      <c r="E21" s="3">
        <f>IF(B21&lt;&gt;"",PMT(UnosPodataka!$M$23,UnosPodataka!$M$25,Annuity!$E$9),"")</f>
        <v>-12543.639950053472</v>
      </c>
    </row>
    <row r="22" spans="2:5" x14ac:dyDescent="0.25">
      <c r="B22">
        <f>IF(B21&lt;UnosPodataka!$M$25,B21+1,"")</f>
        <v>10</v>
      </c>
      <c r="C22" s="3">
        <f t="shared" si="0"/>
        <v>30127.706649351665</v>
      </c>
      <c r="D22" s="3">
        <f>IF(B22&lt;&gt;"",C22*UnosPodataka!$M$23,"")</f>
        <v>3615.3247979221997</v>
      </c>
      <c r="E22" s="3">
        <f>IF(B22&lt;&gt;"",PMT(UnosPodataka!$M$23,UnosPodataka!$M$25,Annuity!$E$9),"")</f>
        <v>-12543.639950053472</v>
      </c>
    </row>
    <row r="23" spans="2:5" x14ac:dyDescent="0.25">
      <c r="B23">
        <f>IF(B22&lt;UnosPodataka!$M$25,B22+1,"")</f>
        <v>11</v>
      </c>
      <c r="C23" s="3">
        <f t="shared" si="0"/>
        <v>21199.391497220397</v>
      </c>
      <c r="D23" s="3">
        <f>IF(B23&lt;&gt;"",C23*UnosPodataka!$M$23,"")</f>
        <v>2543.9269796664476</v>
      </c>
      <c r="E23" s="3">
        <f>IF(B23&lt;&gt;"",PMT(UnosPodataka!$M$23,UnosPodataka!$M$25,Annuity!$E$9),"")</f>
        <v>-12543.639950053472</v>
      </c>
    </row>
    <row r="24" spans="2:5" x14ac:dyDescent="0.25">
      <c r="B24">
        <f>IF(B23&lt;UnosPodataka!$M$25,B23+1,"")</f>
        <v>12</v>
      </c>
      <c r="C24" s="3">
        <f t="shared" si="0"/>
        <v>11199.678526833373</v>
      </c>
      <c r="D24" s="3">
        <f>IF(B24&lt;&gt;"",C24*UnosPodataka!$M$23,"")</f>
        <v>1343.9614232200047</v>
      </c>
      <c r="E24" s="3">
        <f>IF(B24&lt;&gt;"",PMT(UnosPodataka!$M$23,UnosPodataka!$M$25,Annuity!$E$9),"")</f>
        <v>-12543.639950053472</v>
      </c>
    </row>
    <row r="25" spans="2:5" x14ac:dyDescent="0.25">
      <c r="B25" t="str">
        <f>IF(B24&lt;UnosPodataka!$M$25,B24+1,"")</f>
        <v/>
      </c>
      <c r="C25" s="3" t="str">
        <f t="shared" si="0"/>
        <v/>
      </c>
      <c r="D25" s="3" t="str">
        <f>IF(B25&lt;&gt;"",C25*UnosPodataka!$M$23,"")</f>
        <v/>
      </c>
      <c r="E25" s="3" t="str">
        <f>IF(B25&lt;&gt;"",PMT(UnosPodataka!$M$23,UnosPodataka!$M$25,Annuity!$E$9),"")</f>
        <v/>
      </c>
    </row>
    <row r="26" spans="2:5" x14ac:dyDescent="0.25">
      <c r="B26" t="str">
        <f>IF(B25&lt;UnosPodataka!$M$25,B25+1,"")</f>
        <v/>
      </c>
      <c r="C26" s="3" t="str">
        <f t="shared" si="0"/>
        <v/>
      </c>
      <c r="D26" s="3" t="str">
        <f>IF(B26&lt;&gt;"",C26*UnosPodataka!$M$23,"")</f>
        <v/>
      </c>
      <c r="E26" s="3" t="str">
        <f>IF(B26&lt;&gt;"",PMT(UnosPodataka!$M$23,UnosPodataka!$M$25,Annuity!$E$9),"")</f>
        <v/>
      </c>
    </row>
    <row r="27" spans="2:5" x14ac:dyDescent="0.25">
      <c r="B27" t="str">
        <f>IF(B26&lt;UnosPodataka!$M$25,B26+1,"")</f>
        <v/>
      </c>
      <c r="C27" s="3" t="str">
        <f t="shared" si="0"/>
        <v/>
      </c>
      <c r="D27" s="3" t="str">
        <f>IF(B27&lt;&gt;"",C27*UnosPodataka!$M$23,"")</f>
        <v/>
      </c>
      <c r="E27" s="3" t="str">
        <f>IF(B27&lt;&gt;"",PMT(UnosPodataka!$M$23,UnosPodataka!$M$25,Annuity!$E$9),"")</f>
        <v/>
      </c>
    </row>
    <row r="28" spans="2:5" x14ac:dyDescent="0.25">
      <c r="B28" t="str">
        <f>IF(B27&lt;UnosPodataka!$M$25,B27+1,"")</f>
        <v/>
      </c>
      <c r="C28" s="3" t="str">
        <f t="shared" si="0"/>
        <v/>
      </c>
      <c r="D28" s="3" t="str">
        <f>IF(B28&lt;&gt;"",C28*UnosPodataka!$M$23,"")</f>
        <v/>
      </c>
      <c r="E28" s="3" t="str">
        <f>IF(B28&lt;&gt;"",PMT(UnosPodataka!$M$23,UnosPodataka!$M$25,Annuity!$E$9),"")</f>
        <v/>
      </c>
    </row>
    <row r="29" spans="2:5" x14ac:dyDescent="0.25">
      <c r="B29" t="str">
        <f>IF(B28&lt;UnosPodataka!$M$25,B28+1,"")</f>
        <v/>
      </c>
      <c r="C29" s="3" t="str">
        <f t="shared" si="0"/>
        <v/>
      </c>
      <c r="D29" s="3" t="str">
        <f>IF(B29&lt;&gt;"",C29*UnosPodataka!$M$23,"")</f>
        <v/>
      </c>
      <c r="E29" s="3" t="str">
        <f>IF(B29&lt;&gt;"",PMT(UnosPodataka!$M$23,UnosPodataka!$M$25,Annuity!$E$9),"")</f>
        <v/>
      </c>
    </row>
    <row r="30" spans="2:5" x14ac:dyDescent="0.25">
      <c r="B30" t="str">
        <f>IF(B29&lt;UnosPodataka!$M$25,B29+1,"")</f>
        <v/>
      </c>
      <c r="C30" s="3" t="str">
        <f t="shared" si="0"/>
        <v/>
      </c>
      <c r="D30" s="3" t="str">
        <f>IF(B30&lt;&gt;"",C30*UnosPodataka!$M$23,"")</f>
        <v/>
      </c>
      <c r="E30" s="3" t="str">
        <f>IF(B30&lt;&gt;"",PMT(UnosPodataka!$M$23,UnosPodataka!$M$25,Annuity!$E$9),"")</f>
        <v/>
      </c>
    </row>
    <row r="31" spans="2:5" x14ac:dyDescent="0.25">
      <c r="B31" t="str">
        <f>IF(B30&lt;UnosPodataka!$M$25,B30+1,"")</f>
        <v/>
      </c>
      <c r="C31" s="3" t="str">
        <f t="shared" si="0"/>
        <v/>
      </c>
      <c r="D31" s="3" t="str">
        <f>IF(B31&lt;&gt;"",C31*UnosPodataka!$M$23,"")</f>
        <v/>
      </c>
      <c r="E31" s="3" t="str">
        <f>IF(B31&lt;&gt;"",PMT(UnosPodataka!$M$23,UnosPodataka!$M$25,Annuity!$E$9),"")</f>
        <v/>
      </c>
    </row>
    <row r="32" spans="2:5" x14ac:dyDescent="0.25">
      <c r="B32" t="str">
        <f>IF(B31&lt;UnosPodataka!$M$25,B31+1,"")</f>
        <v/>
      </c>
      <c r="C32" s="3" t="str">
        <f t="shared" si="0"/>
        <v/>
      </c>
      <c r="D32" s="3" t="str">
        <f>IF(B32&lt;&gt;"",C32*UnosPodataka!$M$23,"")</f>
        <v/>
      </c>
      <c r="E32" s="3" t="str">
        <f>IF(B32&lt;&gt;"",PMT(UnosPodataka!$M$23,UnosPodataka!$M$25,Annuity!$E$9),"")</f>
        <v/>
      </c>
    </row>
  </sheetData>
  <sheetProtection selectLockedCells="1"/>
  <mergeCells count="4">
    <mergeCell ref="B7:G7"/>
    <mergeCell ref="I9:J10"/>
    <mergeCell ref="L9:M10"/>
    <mergeCell ref="E3:H3"/>
  </mergeCells>
  <hyperlinks>
    <hyperlink ref="I9:J10" location="EnergyCosts!N4" display="NAZAD"/>
    <hyperlink ref="L9:M10" location="Fina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3:Z62"/>
  <sheetViews>
    <sheetView showZeros="0" zoomScale="80" zoomScaleNormal="80" workbookViewId="0">
      <selection activeCell="G47" sqref="G47"/>
    </sheetView>
  </sheetViews>
  <sheetFormatPr defaultRowHeight="15" x14ac:dyDescent="0.25"/>
  <cols>
    <col min="4" max="4" width="12.140625" customWidth="1"/>
    <col min="5" max="6" width="13.5703125" customWidth="1"/>
    <col min="7" max="7" width="14" customWidth="1"/>
    <col min="8" max="8" width="13.140625" customWidth="1"/>
    <col min="9" max="9" width="13.28515625" customWidth="1"/>
    <col min="10" max="10" width="13.5703125" customWidth="1"/>
    <col min="11" max="11" width="13" customWidth="1"/>
    <col min="12" max="12" width="13.85546875" customWidth="1"/>
    <col min="13" max="14" width="14.7109375" customWidth="1"/>
    <col min="15" max="15" width="14.140625" customWidth="1"/>
    <col min="16" max="16" width="13.85546875" customWidth="1"/>
    <col min="17" max="17" width="15" customWidth="1"/>
    <col min="18" max="18" width="14.140625" customWidth="1"/>
    <col min="19" max="20" width="14.5703125" customWidth="1"/>
    <col min="21" max="21" width="15.140625" customWidth="1"/>
    <col min="22" max="22" width="14.85546875" customWidth="1"/>
    <col min="23" max="23" width="14.7109375" customWidth="1"/>
    <col min="24" max="24" width="14.140625" customWidth="1"/>
    <col min="25" max="25" width="15" customWidth="1"/>
  </cols>
  <sheetData>
    <row r="3" spans="1:25" ht="16.5" x14ac:dyDescent="0.35">
      <c r="G3" s="55" t="s">
        <v>191</v>
      </c>
      <c r="H3" s="55"/>
      <c r="I3" s="55"/>
      <c r="J3" s="55"/>
    </row>
    <row r="7" spans="1:25" ht="21" x14ac:dyDescent="0.35">
      <c r="A7" s="62" t="s">
        <v>100</v>
      </c>
      <c r="B7" s="62"/>
      <c r="C7" s="62"/>
      <c r="D7" s="62"/>
      <c r="I7" s="59" t="s">
        <v>136</v>
      </c>
      <c r="J7" s="59"/>
      <c r="N7" s="60" t="s">
        <v>137</v>
      </c>
      <c r="O7" s="60"/>
    </row>
    <row r="9" spans="1:25" x14ac:dyDescent="0.25">
      <c r="A9" s="58" t="s">
        <v>101</v>
      </c>
      <c r="B9" s="58"/>
      <c r="C9" s="58"/>
      <c r="D9" s="58"/>
      <c r="E9" s="16">
        <v>0</v>
      </c>
      <c r="F9" s="16">
        <v>1</v>
      </c>
      <c r="G9" s="16">
        <f>IF(F9&lt;UnosPodataka!$M$28,FinaIndicators!F9+1,"")</f>
        <v>2</v>
      </c>
      <c r="H9" s="16">
        <f>IF(G9&lt;UnosPodataka!$M$28,FinaIndicators!G9+1,"")</f>
        <v>3</v>
      </c>
      <c r="I9" s="16">
        <f>IF(H9&lt;UnosPodataka!$M$28,FinaIndicators!H9+1,"")</f>
        <v>4</v>
      </c>
      <c r="J9" s="16">
        <f>IF(I9&lt;UnosPodataka!$M$28,FinaIndicators!I9+1,"")</f>
        <v>5</v>
      </c>
      <c r="K9" s="16">
        <f>IF(J9&lt;UnosPodataka!$M$28,FinaIndicators!J9+1,"")</f>
        <v>6</v>
      </c>
      <c r="L9" s="16">
        <f>IF(K9&lt;UnosPodataka!$M$28,FinaIndicators!K9+1,"")</f>
        <v>7</v>
      </c>
      <c r="M9" s="16">
        <f>IF(L9&lt;UnosPodataka!$M$28,FinaIndicators!L9+1,"")</f>
        <v>8</v>
      </c>
      <c r="N9" s="16">
        <f>IF(M9&lt;UnosPodataka!$M$28,FinaIndicators!M9+1,"")</f>
        <v>9</v>
      </c>
      <c r="O9" s="16">
        <f>IF(N9&lt;UnosPodataka!$M$28,FinaIndicators!N9+1,"")</f>
        <v>10</v>
      </c>
      <c r="P9" s="16">
        <f>IF(O9&lt;UnosPodataka!$M$28,FinaIndicators!O9+1,"")</f>
        <v>11</v>
      </c>
      <c r="Q9" s="16">
        <f>IF(P9&lt;UnosPodataka!$M$28,FinaIndicators!P9+1,"")</f>
        <v>12</v>
      </c>
      <c r="R9" s="16">
        <f>IF(Q9&lt;UnosPodataka!$M$28,FinaIndicators!Q9+1,"")</f>
        <v>13</v>
      </c>
      <c r="S9" s="16">
        <f>IF(R9&lt;UnosPodataka!$M$28,FinaIndicators!R9+1,"")</f>
        <v>14</v>
      </c>
      <c r="T9" s="16">
        <f>IF(S9&lt;UnosPodataka!$M$28,FinaIndicators!S9+1,"")</f>
        <v>15</v>
      </c>
      <c r="U9" s="16">
        <f>IF(T9&lt;UnosPodataka!$M$28,FinaIndicators!T9+1,"")</f>
        <v>16</v>
      </c>
      <c r="V9" s="16">
        <f>IF(U9&lt;UnosPodataka!$M$28,FinaIndicators!U9+1,"")</f>
        <v>17</v>
      </c>
      <c r="W9" s="16">
        <f>IF(V9&lt;UnosPodataka!$M$28,FinaIndicators!V9+1,"")</f>
        <v>18</v>
      </c>
      <c r="X9" s="16">
        <f>IF(W9&lt;UnosPodataka!$M$28,FinaIndicators!W9+1,"")</f>
        <v>19</v>
      </c>
      <c r="Y9" s="16">
        <f>IF(X9&lt;UnosPodataka!$M$28,FinaIndicators!X9+1,"")</f>
        <v>20</v>
      </c>
    </row>
    <row r="11" spans="1:25" x14ac:dyDescent="0.25">
      <c r="A11" s="65" t="s">
        <v>102</v>
      </c>
      <c r="B11" s="65"/>
      <c r="C11" s="65"/>
      <c r="D11" s="65"/>
      <c r="E11" s="3">
        <f>Loan</f>
        <v>77700</v>
      </c>
    </row>
    <row r="12" spans="1:25" x14ac:dyDescent="0.25">
      <c r="A12" s="65" t="s">
        <v>103</v>
      </c>
      <c r="B12" s="65"/>
      <c r="C12" s="65"/>
      <c r="D12" s="65"/>
      <c r="E12" s="3">
        <f>IF(Equity=0,Loan,Equity)</f>
        <v>6300</v>
      </c>
    </row>
    <row r="13" spans="1:25" x14ac:dyDescent="0.25">
      <c r="A13" s="65" t="s">
        <v>156</v>
      </c>
      <c r="B13" s="65"/>
      <c r="C13" s="65"/>
      <c r="D13" s="65"/>
      <c r="E13" s="3">
        <f>+PomTab1!K22</f>
        <v>10000</v>
      </c>
    </row>
    <row r="14" spans="1:25" x14ac:dyDescent="0.25">
      <c r="A14" s="65" t="s">
        <v>104</v>
      </c>
      <c r="B14" s="65"/>
      <c r="C14" s="65"/>
      <c r="D14" s="65"/>
      <c r="F14" s="3">
        <f t="shared" ref="F14:Y14" si="0">IF(F9&lt;&gt;"",HEAT,"")</f>
        <v>500</v>
      </c>
      <c r="G14" s="3">
        <f t="shared" si="0"/>
        <v>500</v>
      </c>
      <c r="H14" s="3">
        <f t="shared" si="0"/>
        <v>500</v>
      </c>
      <c r="I14" s="3">
        <f t="shared" si="0"/>
        <v>500</v>
      </c>
      <c r="J14" s="3">
        <f t="shared" si="0"/>
        <v>500</v>
      </c>
      <c r="K14" s="3">
        <f t="shared" si="0"/>
        <v>500</v>
      </c>
      <c r="L14" s="3">
        <f t="shared" si="0"/>
        <v>500</v>
      </c>
      <c r="M14" s="3">
        <f t="shared" si="0"/>
        <v>500</v>
      </c>
      <c r="N14" s="3">
        <f t="shared" si="0"/>
        <v>500</v>
      </c>
      <c r="O14" s="3">
        <f t="shared" si="0"/>
        <v>500</v>
      </c>
      <c r="P14" s="3">
        <f t="shared" si="0"/>
        <v>500</v>
      </c>
      <c r="Q14" s="3">
        <f t="shared" si="0"/>
        <v>500</v>
      </c>
      <c r="R14" s="3">
        <f t="shared" si="0"/>
        <v>500</v>
      </c>
      <c r="S14" s="3">
        <f t="shared" si="0"/>
        <v>500</v>
      </c>
      <c r="T14" s="3">
        <f t="shared" si="0"/>
        <v>500</v>
      </c>
      <c r="U14" s="3">
        <f t="shared" si="0"/>
        <v>500</v>
      </c>
      <c r="V14" s="3">
        <f t="shared" si="0"/>
        <v>500</v>
      </c>
      <c r="W14" s="3">
        <f t="shared" si="0"/>
        <v>500</v>
      </c>
      <c r="X14" s="3">
        <f t="shared" si="0"/>
        <v>500</v>
      </c>
      <c r="Y14" s="3">
        <f t="shared" si="0"/>
        <v>500</v>
      </c>
    </row>
    <row r="15" spans="1:25" x14ac:dyDescent="0.25">
      <c r="A15" s="65" t="s">
        <v>117</v>
      </c>
      <c r="B15" s="65"/>
      <c r="C15" s="65"/>
      <c r="D15" s="65"/>
      <c r="F15" s="3">
        <f t="shared" ref="F15:Y15" si="1">ECONS</f>
        <v>125</v>
      </c>
      <c r="G15" s="3">
        <f t="shared" si="1"/>
        <v>125</v>
      </c>
      <c r="H15" s="3">
        <f t="shared" si="1"/>
        <v>125</v>
      </c>
      <c r="I15" s="3">
        <f t="shared" si="1"/>
        <v>125</v>
      </c>
      <c r="J15" s="3">
        <f t="shared" si="1"/>
        <v>125</v>
      </c>
      <c r="K15" s="3">
        <f t="shared" si="1"/>
        <v>125</v>
      </c>
      <c r="L15" s="3">
        <f t="shared" si="1"/>
        <v>125</v>
      </c>
      <c r="M15" s="3">
        <f t="shared" si="1"/>
        <v>125</v>
      </c>
      <c r="N15" s="3">
        <f t="shared" si="1"/>
        <v>125</v>
      </c>
      <c r="O15" s="3">
        <f t="shared" si="1"/>
        <v>125</v>
      </c>
      <c r="P15" s="3">
        <f t="shared" si="1"/>
        <v>125</v>
      </c>
      <c r="Q15" s="3">
        <f t="shared" si="1"/>
        <v>125</v>
      </c>
      <c r="R15" s="3">
        <f t="shared" si="1"/>
        <v>125</v>
      </c>
      <c r="S15" s="3">
        <f t="shared" si="1"/>
        <v>125</v>
      </c>
      <c r="T15" s="3">
        <f t="shared" si="1"/>
        <v>125</v>
      </c>
      <c r="U15" s="3">
        <f t="shared" si="1"/>
        <v>125</v>
      </c>
      <c r="V15" s="3">
        <f t="shared" si="1"/>
        <v>125</v>
      </c>
      <c r="W15" s="3">
        <f t="shared" si="1"/>
        <v>125</v>
      </c>
      <c r="X15" s="3">
        <f t="shared" si="1"/>
        <v>125</v>
      </c>
      <c r="Y15" s="3">
        <f t="shared" si="1"/>
        <v>125</v>
      </c>
    </row>
    <row r="16" spans="1:25" x14ac:dyDescent="0.25">
      <c r="A16" s="68"/>
      <c r="B16" s="68"/>
      <c r="C16" s="68"/>
      <c r="D16" s="68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5">
      <c r="A17" s="58" t="s">
        <v>161</v>
      </c>
      <c r="B17" s="58"/>
      <c r="C17" s="58"/>
      <c r="D17" s="58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65" t="s">
        <v>105</v>
      </c>
      <c r="B18" s="65"/>
      <c r="C18" s="65"/>
      <c r="D18" s="65"/>
      <c r="F18" s="3">
        <f t="shared" ref="F18:Y18" si="2">IF(F9&lt;&gt;"",F14*etagrid*HPrice/Kurs_EUR,"")</f>
        <v>34146.715776550031</v>
      </c>
      <c r="G18" s="3">
        <f t="shared" si="2"/>
        <v>34146.715776550031</v>
      </c>
      <c r="H18" s="3">
        <f t="shared" si="2"/>
        <v>34146.715776550031</v>
      </c>
      <c r="I18" s="3">
        <f t="shared" si="2"/>
        <v>34146.715776550031</v>
      </c>
      <c r="J18" s="3">
        <f t="shared" si="2"/>
        <v>34146.715776550031</v>
      </c>
      <c r="K18" s="3">
        <f t="shared" si="2"/>
        <v>34146.715776550031</v>
      </c>
      <c r="L18" s="3">
        <f t="shared" si="2"/>
        <v>34146.715776550031</v>
      </c>
      <c r="M18" s="3">
        <f t="shared" si="2"/>
        <v>34146.715776550031</v>
      </c>
      <c r="N18" s="3">
        <f t="shared" si="2"/>
        <v>34146.715776550031</v>
      </c>
      <c r="O18" s="3">
        <f t="shared" si="2"/>
        <v>34146.715776550031</v>
      </c>
      <c r="P18" s="3">
        <f t="shared" si="2"/>
        <v>34146.715776550031</v>
      </c>
      <c r="Q18" s="3">
        <f t="shared" si="2"/>
        <v>34146.715776550031</v>
      </c>
      <c r="R18" s="3">
        <f t="shared" si="2"/>
        <v>34146.715776550031</v>
      </c>
      <c r="S18" s="3">
        <f t="shared" si="2"/>
        <v>34146.715776550031</v>
      </c>
      <c r="T18" s="3">
        <f t="shared" si="2"/>
        <v>34146.715776550031</v>
      </c>
      <c r="U18" s="3">
        <f t="shared" si="2"/>
        <v>34146.715776550031</v>
      </c>
      <c r="V18" s="3">
        <f t="shared" si="2"/>
        <v>34146.715776550031</v>
      </c>
      <c r="W18" s="3">
        <f t="shared" si="2"/>
        <v>34146.715776550031</v>
      </c>
      <c r="X18" s="3">
        <f t="shared" si="2"/>
        <v>34146.715776550031</v>
      </c>
      <c r="Y18" s="3">
        <f t="shared" si="2"/>
        <v>34146.715776550031</v>
      </c>
    </row>
    <row r="19" spans="1:25" x14ac:dyDescent="0.25">
      <c r="A19" s="69" t="s">
        <v>106</v>
      </c>
      <c r="B19" s="69"/>
      <c r="C19" s="69"/>
      <c r="D19" s="69"/>
      <c r="E19" s="33"/>
      <c r="F19" s="32">
        <f t="shared" ref="F19:Y19" si="3">IF(F9&lt;&gt;"",F18,"")</f>
        <v>34146.715776550031</v>
      </c>
      <c r="G19" s="32">
        <f t="shared" si="3"/>
        <v>34146.715776550031</v>
      </c>
      <c r="H19" s="32">
        <f t="shared" si="3"/>
        <v>34146.715776550031</v>
      </c>
      <c r="I19" s="32">
        <f t="shared" si="3"/>
        <v>34146.715776550031</v>
      </c>
      <c r="J19" s="32">
        <f t="shared" si="3"/>
        <v>34146.715776550031</v>
      </c>
      <c r="K19" s="32">
        <f t="shared" si="3"/>
        <v>34146.715776550031</v>
      </c>
      <c r="L19" s="32">
        <f t="shared" si="3"/>
        <v>34146.715776550031</v>
      </c>
      <c r="M19" s="32">
        <f t="shared" si="3"/>
        <v>34146.715776550031</v>
      </c>
      <c r="N19" s="32">
        <f t="shared" si="3"/>
        <v>34146.715776550031</v>
      </c>
      <c r="O19" s="32">
        <f t="shared" si="3"/>
        <v>34146.715776550031</v>
      </c>
      <c r="P19" s="32">
        <f t="shared" si="3"/>
        <v>34146.715776550031</v>
      </c>
      <c r="Q19" s="32">
        <f t="shared" si="3"/>
        <v>34146.715776550031</v>
      </c>
      <c r="R19" s="32">
        <f t="shared" si="3"/>
        <v>34146.715776550031</v>
      </c>
      <c r="S19" s="32">
        <f t="shared" si="3"/>
        <v>34146.715776550031</v>
      </c>
      <c r="T19" s="32">
        <f t="shared" si="3"/>
        <v>34146.715776550031</v>
      </c>
      <c r="U19" s="32">
        <f t="shared" si="3"/>
        <v>34146.715776550031</v>
      </c>
      <c r="V19" s="32">
        <f t="shared" si="3"/>
        <v>34146.715776550031</v>
      </c>
      <c r="W19" s="32">
        <f t="shared" si="3"/>
        <v>34146.715776550031</v>
      </c>
      <c r="X19" s="32">
        <f t="shared" si="3"/>
        <v>34146.715776550031</v>
      </c>
      <c r="Y19" s="32">
        <f t="shared" si="3"/>
        <v>34146.715776550031</v>
      </c>
    </row>
    <row r="20" spans="1:25" x14ac:dyDescent="0.25">
      <c r="A20" s="68"/>
      <c r="B20" s="68"/>
      <c r="C20" s="68"/>
      <c r="D20" s="68"/>
    </row>
    <row r="21" spans="1:25" x14ac:dyDescent="0.25">
      <c r="A21" s="58" t="s">
        <v>162</v>
      </c>
      <c r="B21" s="58"/>
      <c r="C21" s="58"/>
      <c r="D21" s="58"/>
    </row>
    <row r="22" spans="1:25" x14ac:dyDescent="0.25">
      <c r="A22" s="65" t="s">
        <v>157</v>
      </c>
      <c r="B22" s="65"/>
      <c r="C22" s="65"/>
      <c r="D22" s="65"/>
      <c r="F22" s="3">
        <f>IF(F9&gt;UnosPodataka!$M$25,"",-VLOOKUP(F9,Annuity!$B$13:$E$32,3,FALSE))</f>
        <v>-9324</v>
      </c>
      <c r="G22" s="3">
        <f>IF(G9&gt;UnosPodataka!$M$25,"",-VLOOKUP(G9,Annuity!$B$13:$E$32,3,FALSE))</f>
        <v>-8937.6432059935833</v>
      </c>
      <c r="H22" s="3">
        <f>IF(H9&gt;UnosPodataka!$M$25,"",-VLOOKUP(H9,Annuity!$B$13:$E$32,3,FALSE))</f>
        <v>-8504.9235967063942</v>
      </c>
      <c r="I22" s="3">
        <f>IF(I9&gt;UnosPodataka!$M$25,"",-VLOOKUP(I9,Annuity!$B$13:$E$32,3,FALSE))</f>
        <v>-8020.2776343047444</v>
      </c>
      <c r="J22" s="3">
        <f>IF(J9&gt;UnosPodataka!$M$25,"",-VLOOKUP(J9,Annuity!$B$13:$E$32,3,FALSE))</f>
        <v>-7477.4741564148962</v>
      </c>
      <c r="K22" s="3">
        <f>IF(K9&gt;UnosPodataka!$M$25,"",-VLOOKUP(K9,Annuity!$B$13:$E$32,3,FALSE))</f>
        <v>-6869.5342611782671</v>
      </c>
      <c r="L22" s="3">
        <f>IF(L9&gt;UnosPodataka!$M$25,"",-VLOOKUP(L9,Annuity!$B$13:$E$32,3,FALSE))</f>
        <v>-6188.6415785132431</v>
      </c>
      <c r="M22" s="3">
        <f>IF(M9&gt;UnosPodataka!$M$25,"",-VLOOKUP(M9,Annuity!$B$13:$E$32,3,FALSE))</f>
        <v>-5426.0417739284148</v>
      </c>
      <c r="N22" s="3">
        <f>IF(N9&gt;UnosPodataka!$M$25,"",-VLOOKUP(N9,Annuity!$B$13:$E$32,3,FALSE))</f>
        <v>-4571.929992793408</v>
      </c>
      <c r="O22" s="3">
        <f>IF(O9&gt;UnosPodataka!$M$25,"",-VLOOKUP(O9,Annuity!$B$13:$E$32,3,FALSE))</f>
        <v>-3615.3247979221997</v>
      </c>
      <c r="P22" s="3">
        <f>IF(P9&gt;UnosPodataka!$M$25,"",-VLOOKUP(P9,Annuity!$B$13:$E$32,3,FALSE))</f>
        <v>-2543.9269796664476</v>
      </c>
      <c r="Q22" s="3">
        <f>IF(Q9&gt;UnosPodataka!$M$25,"",-VLOOKUP(Q9,Annuity!$B$13:$E$32,3,FALSE))</f>
        <v>-1343.9614232200047</v>
      </c>
      <c r="R22" s="3" t="str">
        <f>IF(R9&gt;UnosPodataka!$M$25,"",-VLOOKUP(R9,Annuity!$B$13:$E$32,3,FALSE))</f>
        <v/>
      </c>
      <c r="S22" s="3" t="str">
        <f>IF(S9&gt;UnosPodataka!$M$25,"",-VLOOKUP(S9,Annuity!$B$13:$E$32,3,FALSE))</f>
        <v/>
      </c>
      <c r="T22" s="3" t="str">
        <f>IF(T9&gt;UnosPodataka!$M$25,"",-VLOOKUP(T9,Annuity!$B$13:$E$32,3,FALSE))</f>
        <v/>
      </c>
      <c r="U22" s="3" t="str">
        <f>IF(U9&gt;UnosPodataka!$M$25,"",-VLOOKUP(U9,Annuity!$B$13:$E$32,3,FALSE))</f>
        <v/>
      </c>
      <c r="V22" s="3" t="str">
        <f>IF(V9&gt;UnosPodataka!$M$25,"",-VLOOKUP(V9,Annuity!$B$13:$E$32,3,FALSE))</f>
        <v/>
      </c>
      <c r="W22" s="3" t="str">
        <f>IF(W9&gt;UnosPodataka!$M$25,"",-VLOOKUP(W9,Annuity!$B$13:$E$32,3,FALSE))</f>
        <v/>
      </c>
      <c r="X22" s="3" t="str">
        <f>IF(X9&gt;UnosPodataka!$M$25,"",-VLOOKUP(X9,Annuity!$B$13:$E$32,3,FALSE))</f>
        <v/>
      </c>
      <c r="Y22" s="3" t="str">
        <f>IF(Y9&gt;UnosPodataka!$M$25,"",-VLOOKUP(Y9,Annuity!$B$13:$E$32,3,FALSE))</f>
        <v/>
      </c>
    </row>
    <row r="23" spans="1:25" x14ac:dyDescent="0.25">
      <c r="A23" s="21" t="s">
        <v>158</v>
      </c>
      <c r="B23" s="21"/>
      <c r="C23" s="21"/>
      <c r="D23" s="21"/>
      <c r="F23" s="3">
        <f>IF(F22="",0,IF(F9&gt;UnosPodataka!$M$25,"",VLOOKUP(F9,Annuity!$B$13:$E$32,4,FALSE)+VLOOKUP(F9,Annuity!$B$13:$E$32,3,FALSE)))</f>
        <v>-3219.6399500534717</v>
      </c>
      <c r="G23" s="3">
        <f>IF(G22="",0,IF(G9&gt;UnosPodataka!$M$25,"",VLOOKUP(G9,Annuity!$B$13:$E$32,4,FALSE)+VLOOKUP(G9,Annuity!$B$13:$E$32,3,FALSE)))</f>
        <v>-3605.9967440598884</v>
      </c>
      <c r="H23" s="3">
        <f>IF(H22="",0,IF(H9&gt;UnosPodataka!$M$25,"",VLOOKUP(H9,Annuity!$B$13:$E$32,4,FALSE)+VLOOKUP(H9,Annuity!$B$13:$E$32,3,FALSE)))</f>
        <v>-4038.7163533470775</v>
      </c>
      <c r="I23" s="3">
        <f>IF(I22="",0,IF(I9&gt;UnosPodataka!$M$25,"",VLOOKUP(I9,Annuity!$B$13:$E$32,4,FALSE)+VLOOKUP(I9,Annuity!$B$13:$E$32,3,FALSE)))</f>
        <v>-4523.3623157487273</v>
      </c>
      <c r="J23" s="3">
        <f>IF(J22="",0,IF(J9&gt;UnosPodataka!$M$25,"",VLOOKUP(J9,Annuity!$B$13:$E$32,4,FALSE)+VLOOKUP(J9,Annuity!$B$13:$E$32,3,FALSE)))</f>
        <v>-5066.1657936385755</v>
      </c>
      <c r="K23" s="3">
        <f>IF(K22="",0,IF(K9&gt;UnosPodataka!$M$25,"",VLOOKUP(K9,Annuity!$B$13:$E$32,4,FALSE)+VLOOKUP(K9,Annuity!$B$13:$E$32,3,FALSE)))</f>
        <v>-5674.1056888752046</v>
      </c>
      <c r="L23" s="3">
        <f>IF(L22="",0,IF(L9&gt;UnosPodataka!$M$25,"",VLOOKUP(L9,Annuity!$B$13:$E$32,4,FALSE)+VLOOKUP(L9,Annuity!$B$13:$E$32,3,FALSE)))</f>
        <v>-6354.9983715402286</v>
      </c>
      <c r="M23" s="3">
        <f>IF(M22="",0,IF(M9&gt;UnosPodataka!$M$25,"",VLOOKUP(M9,Annuity!$B$13:$E$32,4,FALSE)+VLOOKUP(M9,Annuity!$B$13:$E$32,3,FALSE)))</f>
        <v>-7117.5981761250569</v>
      </c>
      <c r="N23" s="3">
        <f>IF(N22="",0,IF(N9&gt;UnosPodataka!$M$25,"",VLOOKUP(N9,Annuity!$B$13:$E$32,4,FALSE)+VLOOKUP(N9,Annuity!$B$13:$E$32,3,FALSE)))</f>
        <v>-7971.7099572600637</v>
      </c>
      <c r="O23" s="3">
        <f>IF(O22="",0,IF(O9&gt;UnosPodataka!$M$25,"",VLOOKUP(O9,Annuity!$B$13:$E$32,4,FALSE)+VLOOKUP(O9,Annuity!$B$13:$E$32,3,FALSE)))</f>
        <v>-8928.315152131272</v>
      </c>
      <c r="P23" s="3">
        <f>IF(P22="",0,IF(P9&gt;UnosPodataka!$M$25,"",VLOOKUP(P9,Annuity!$B$13:$E$32,4,FALSE)+VLOOKUP(P9,Annuity!$B$13:$E$32,3,FALSE)))</f>
        <v>-9999.7129703870232</v>
      </c>
      <c r="Q23" s="3">
        <f>IF(Q22="",0,IF(Q9&gt;UnosPodataka!$M$25,"",VLOOKUP(Q9,Annuity!$B$13:$E$32,4,FALSE)+VLOOKUP(Q9,Annuity!$B$13:$E$32,3,FALSE)))</f>
        <v>-11199.678526833468</v>
      </c>
      <c r="R23" s="3">
        <f>IF(R22="",0,IF(R9&gt;UnosPodataka!$M$25,"",VLOOKUP(R9,Annuity!$B$13:$E$32,4,FALSE)+VLOOKUP(R9,Annuity!$B$13:$E$32,3,FALSE)))</f>
        <v>0</v>
      </c>
      <c r="S23" s="3">
        <f>IF(S22="",0,IF(S9&gt;UnosPodataka!$M$25,"",VLOOKUP(S9,Annuity!$B$13:$E$32,4,FALSE)+VLOOKUP(S9,Annuity!$B$13:$E$32,3,FALSE)))</f>
        <v>0</v>
      </c>
      <c r="T23" s="3">
        <f>IF(T22="",0,IF(T9&gt;UnosPodataka!$M$25,"",VLOOKUP(T9,Annuity!$B$13:$E$32,4,FALSE)+VLOOKUP(T9,Annuity!$B$13:$E$32,3,FALSE)))</f>
        <v>0</v>
      </c>
      <c r="U23" s="3">
        <f>IF(U22="",0,IF(U9&gt;UnosPodataka!$M$25,"",VLOOKUP(U9,Annuity!$B$13:$E$32,4,FALSE)+VLOOKUP(U9,Annuity!$B$13:$E$32,3,FALSE)))</f>
        <v>0</v>
      </c>
      <c r="V23" s="3">
        <f>IF(V22="",0,IF(V9&gt;UnosPodataka!$M$25,"",VLOOKUP(V9,Annuity!$B$13:$E$32,4,FALSE)+VLOOKUP(V9,Annuity!$B$13:$E$32,3,FALSE)))</f>
        <v>0</v>
      </c>
      <c r="W23" s="3">
        <f>IF(W22="",0,IF(W9&gt;UnosPodataka!$M$25,"",VLOOKUP(W9,Annuity!$B$13:$E$32,4,FALSE)+VLOOKUP(W9,Annuity!$B$13:$E$32,3,FALSE)))</f>
        <v>0</v>
      </c>
      <c r="X23" s="3">
        <f>IF(X22="",0,IF(X9&gt;UnosPodataka!$M$25,"",VLOOKUP(X9,Annuity!$B$13:$E$32,4,FALSE)+VLOOKUP(X9,Annuity!$B$13:$E$32,3,FALSE)))</f>
        <v>0</v>
      </c>
      <c r="Y23" s="3">
        <f>IF(Y22="",0,IF(Y9&gt;UnosPodataka!$M$25,"",VLOOKUP(Y9,Annuity!$B$13:$E$32,4,FALSE)+VLOOKUP(Y9,Annuity!$B$13:$E$32,3,FALSE)))</f>
        <v>0</v>
      </c>
    </row>
    <row r="24" spans="1:25" x14ac:dyDescent="0.25">
      <c r="A24" s="65" t="s">
        <v>107</v>
      </c>
      <c r="B24" s="65"/>
      <c r="C24" s="65"/>
      <c r="D24" s="65"/>
      <c r="F24" s="3">
        <f>IF(F9&lt;&gt;"",-UnosPodataka!$M$9,"")</f>
        <v>-100</v>
      </c>
      <c r="G24" s="3">
        <f>IF(G9&lt;&gt;"",-UnosPodataka!$M$9,"")</f>
        <v>-100</v>
      </c>
      <c r="H24" s="3">
        <f>IF(H9&lt;&gt;"",-UnosPodataka!$M$9,"")</f>
        <v>-100</v>
      </c>
      <c r="I24" s="3">
        <f>IF(I9&lt;&gt;"",-UnosPodataka!$M$9,"")</f>
        <v>-100</v>
      </c>
      <c r="J24" s="3">
        <f>IF(J9&lt;&gt;"",-UnosPodataka!$M$9,"")</f>
        <v>-100</v>
      </c>
      <c r="K24" s="3">
        <f>IF(K9&lt;&gt;"",-UnosPodataka!$M$9,"")</f>
        <v>-100</v>
      </c>
      <c r="L24" s="3">
        <f>IF(L9&lt;&gt;"",-UnosPodataka!$M$9,"")</f>
        <v>-100</v>
      </c>
      <c r="M24" s="3">
        <f>IF(M9&lt;&gt;"",-UnosPodataka!$M$9,"")</f>
        <v>-100</v>
      </c>
      <c r="N24" s="3">
        <f>IF(N9&lt;&gt;"",-UnosPodataka!$M$9,"")</f>
        <v>-100</v>
      </c>
      <c r="O24" s="3">
        <f>IF(O9&lt;&gt;"",-UnosPodataka!$M$9,"")</f>
        <v>-100</v>
      </c>
      <c r="P24" s="3">
        <f>IF(P9&lt;&gt;"",-UnosPodataka!$M$9,"")</f>
        <v>-100</v>
      </c>
      <c r="Q24" s="3">
        <f>IF(Q9&lt;&gt;"",-UnosPodataka!$M$9,"")</f>
        <v>-100</v>
      </c>
      <c r="R24" s="3">
        <f>IF(R9&lt;&gt;"",-UnosPodataka!$M$9,"")</f>
        <v>-100</v>
      </c>
      <c r="S24" s="3">
        <f>IF(S9&lt;&gt;"",-UnosPodataka!$M$9,"")</f>
        <v>-100</v>
      </c>
      <c r="T24" s="3">
        <f>IF(T9&lt;&gt;"",-UnosPodataka!$M$9,"")</f>
        <v>-100</v>
      </c>
      <c r="U24" s="3">
        <f>IF(U9&lt;&gt;"",-UnosPodataka!$M$9,"")</f>
        <v>-100</v>
      </c>
      <c r="V24" s="3">
        <f>IF(V9&lt;&gt;"",-UnosPodataka!$M$9,"")</f>
        <v>-100</v>
      </c>
      <c r="W24" s="3">
        <f>IF(W9&lt;&gt;"",-UnosPodataka!$M$9,"")</f>
        <v>-100</v>
      </c>
      <c r="X24" s="3">
        <f>IF(X9&lt;&gt;"",-UnosPodataka!$M$9,"")</f>
        <v>-100</v>
      </c>
      <c r="Y24" s="3">
        <f>IF(Y9&lt;&gt;"",-UnosPodataka!$M$9,"")</f>
        <v>-100</v>
      </c>
    </row>
    <row r="25" spans="1:25" x14ac:dyDescent="0.25">
      <c r="A25" s="65" t="s">
        <v>108</v>
      </c>
      <c r="B25" s="65"/>
      <c r="C25" s="65"/>
      <c r="D25" s="65"/>
      <c r="F25" s="3">
        <f>IF(F9&lt;&gt;"",-Investment*UnosPodataka!$M$11,"")</f>
        <v>-1410</v>
      </c>
      <c r="G25" s="3">
        <f>IF(G9&lt;&gt;"",-Investment*UnosPodataka!$M$11,"")</f>
        <v>-1410</v>
      </c>
      <c r="H25" s="3">
        <f>IF(H9&lt;&gt;"",-Investment*UnosPodataka!$M$11,"")</f>
        <v>-1410</v>
      </c>
      <c r="I25" s="3">
        <f>IF(I9&lt;&gt;"",-Investment*UnosPodataka!$M$11,"")</f>
        <v>-1410</v>
      </c>
      <c r="J25" s="3">
        <f>IF(J9&lt;&gt;"",-Investment*UnosPodataka!$M$11,"")</f>
        <v>-1410</v>
      </c>
      <c r="K25" s="3">
        <f>IF(K9&lt;&gt;"",-Investment*UnosPodataka!$M$11,"")</f>
        <v>-1410</v>
      </c>
      <c r="L25" s="3">
        <f>IF(L9&lt;&gt;"",-Investment*UnosPodataka!$M$11,"")</f>
        <v>-1410</v>
      </c>
      <c r="M25" s="3">
        <f>IF(M9&lt;&gt;"",-Investment*UnosPodataka!$M$11,"")</f>
        <v>-1410</v>
      </c>
      <c r="N25" s="3">
        <f>IF(N9&lt;&gt;"",-Investment*UnosPodataka!$M$11,"")</f>
        <v>-1410</v>
      </c>
      <c r="O25" s="3">
        <f>IF(O9&lt;&gt;"",-Investment*UnosPodataka!$M$11,"")</f>
        <v>-1410</v>
      </c>
      <c r="P25" s="3">
        <f>IF(P9&lt;&gt;"",-Investment*UnosPodataka!$M$11,"")</f>
        <v>-1410</v>
      </c>
      <c r="Q25" s="3">
        <f>IF(Q9&lt;&gt;"",-Investment*UnosPodataka!$M$11,"")</f>
        <v>-1410</v>
      </c>
      <c r="R25" s="3">
        <f>IF(R9&lt;&gt;"",-Investment*UnosPodataka!$M$11,"")</f>
        <v>-1410</v>
      </c>
      <c r="S25" s="3">
        <f>IF(S9&lt;&gt;"",-Investment*UnosPodataka!$M$11,"")</f>
        <v>-1410</v>
      </c>
      <c r="T25" s="3">
        <f>IF(T9&lt;&gt;"",-Investment*UnosPodataka!$M$11,"")</f>
        <v>-1410</v>
      </c>
      <c r="U25" s="3">
        <f>IF(U9&lt;&gt;"",-Investment*UnosPodataka!$M$11,"")</f>
        <v>-1410</v>
      </c>
      <c r="V25" s="3">
        <f>IF(V9&lt;&gt;"",-Investment*UnosPodataka!$M$11,"")</f>
        <v>-1410</v>
      </c>
      <c r="W25" s="3">
        <f>IF(W9&lt;&gt;"",-Investment*UnosPodataka!$M$11,"")</f>
        <v>-1410</v>
      </c>
      <c r="X25" s="3">
        <f>IF(X9&lt;&gt;"",-Investment*UnosPodataka!$M$11,"")</f>
        <v>-1410</v>
      </c>
      <c r="Y25" s="3">
        <f>IF(Y9&lt;&gt;"",-Investment*UnosPodataka!$M$11,"")</f>
        <v>-1410</v>
      </c>
    </row>
    <row r="26" spans="1:25" x14ac:dyDescent="0.25">
      <c r="A26" s="65" t="s">
        <v>109</v>
      </c>
      <c r="B26" s="65"/>
      <c r="C26" s="65"/>
      <c r="D26" s="65"/>
      <c r="F26" s="3">
        <f t="shared" ref="F26:Y26" si="4">IF(F9&lt;&gt;"",-(EPOW*WHOUR/1000+ECONS)*EPrice/Kurs_EUR,"")</f>
        <v>-21419.9236068481</v>
      </c>
      <c r="G26" s="3">
        <f t="shared" si="4"/>
        <v>-21419.9236068481</v>
      </c>
      <c r="H26" s="3">
        <f t="shared" si="4"/>
        <v>-21419.9236068481</v>
      </c>
      <c r="I26" s="3">
        <f t="shared" si="4"/>
        <v>-21419.9236068481</v>
      </c>
      <c r="J26" s="3">
        <f t="shared" si="4"/>
        <v>-21419.9236068481</v>
      </c>
      <c r="K26" s="3">
        <f t="shared" si="4"/>
        <v>-21419.9236068481</v>
      </c>
      <c r="L26" s="3">
        <f t="shared" si="4"/>
        <v>-21419.9236068481</v>
      </c>
      <c r="M26" s="3">
        <f t="shared" si="4"/>
        <v>-21419.9236068481</v>
      </c>
      <c r="N26" s="3">
        <f t="shared" si="4"/>
        <v>-21419.9236068481</v>
      </c>
      <c r="O26" s="3">
        <f t="shared" si="4"/>
        <v>-21419.9236068481</v>
      </c>
      <c r="P26" s="3">
        <f t="shared" si="4"/>
        <v>-21419.9236068481</v>
      </c>
      <c r="Q26" s="3">
        <f t="shared" si="4"/>
        <v>-21419.9236068481</v>
      </c>
      <c r="R26" s="3">
        <f t="shared" si="4"/>
        <v>-21419.9236068481</v>
      </c>
      <c r="S26" s="3">
        <f t="shared" si="4"/>
        <v>-21419.9236068481</v>
      </c>
      <c r="T26" s="3">
        <f t="shared" si="4"/>
        <v>-21419.9236068481</v>
      </c>
      <c r="U26" s="3">
        <f t="shared" si="4"/>
        <v>-21419.9236068481</v>
      </c>
      <c r="V26" s="3">
        <f t="shared" si="4"/>
        <v>-21419.9236068481</v>
      </c>
      <c r="W26" s="3">
        <f t="shared" si="4"/>
        <v>-21419.9236068481</v>
      </c>
      <c r="X26" s="3">
        <f t="shared" si="4"/>
        <v>-21419.9236068481</v>
      </c>
      <c r="Y26" s="3">
        <f t="shared" si="4"/>
        <v>-21419.9236068481</v>
      </c>
    </row>
    <row r="27" spans="1:25" x14ac:dyDescent="0.25">
      <c r="A27" s="65" t="s">
        <v>110</v>
      </c>
      <c r="B27" s="65"/>
      <c r="C27" s="65"/>
      <c r="D27" s="65"/>
      <c r="F27" s="3">
        <f t="shared" ref="F27:Y27" si="5">IF(F9&lt;&gt;"",-WCONS*3.6*WHOUR*WPRICE/Kurs_EUR,"")</f>
        <v>-2464.0883977900553</v>
      </c>
      <c r="G27" s="3">
        <f t="shared" si="5"/>
        <v>-2464.0883977900553</v>
      </c>
      <c r="H27" s="3">
        <f t="shared" si="5"/>
        <v>-2464.0883977900553</v>
      </c>
      <c r="I27" s="3">
        <f t="shared" si="5"/>
        <v>-2464.0883977900553</v>
      </c>
      <c r="J27" s="3">
        <f t="shared" si="5"/>
        <v>-2464.0883977900553</v>
      </c>
      <c r="K27" s="3">
        <f t="shared" si="5"/>
        <v>-2464.0883977900553</v>
      </c>
      <c r="L27" s="3">
        <f t="shared" si="5"/>
        <v>-2464.0883977900553</v>
      </c>
      <c r="M27" s="3">
        <f t="shared" si="5"/>
        <v>-2464.0883977900553</v>
      </c>
      <c r="N27" s="3">
        <f t="shared" si="5"/>
        <v>-2464.0883977900553</v>
      </c>
      <c r="O27" s="3">
        <f t="shared" si="5"/>
        <v>-2464.0883977900553</v>
      </c>
      <c r="P27" s="3">
        <f t="shared" si="5"/>
        <v>-2464.0883977900553</v>
      </c>
      <c r="Q27" s="3">
        <f t="shared" si="5"/>
        <v>-2464.0883977900553</v>
      </c>
      <c r="R27" s="3">
        <f t="shared" si="5"/>
        <v>-2464.0883977900553</v>
      </c>
      <c r="S27" s="3">
        <f t="shared" si="5"/>
        <v>-2464.0883977900553</v>
      </c>
      <c r="T27" s="3">
        <f t="shared" si="5"/>
        <v>-2464.0883977900553</v>
      </c>
      <c r="U27" s="3">
        <f t="shared" si="5"/>
        <v>-2464.0883977900553</v>
      </c>
      <c r="V27" s="3">
        <f t="shared" si="5"/>
        <v>-2464.0883977900553</v>
      </c>
      <c r="W27" s="3">
        <f t="shared" si="5"/>
        <v>-2464.0883977900553</v>
      </c>
      <c r="X27" s="3">
        <f t="shared" si="5"/>
        <v>-2464.0883977900553</v>
      </c>
      <c r="Y27" s="3">
        <f t="shared" si="5"/>
        <v>-2464.0883977900553</v>
      </c>
    </row>
    <row r="28" spans="1:25" x14ac:dyDescent="0.25">
      <c r="A28" s="65" t="s">
        <v>159</v>
      </c>
      <c r="B28" s="65"/>
      <c r="C28" s="65"/>
      <c r="D28" s="65"/>
      <c r="F28" s="3">
        <f>IF(F9&lt;&gt;"",-Investment*UnosPodataka!$M$12,"")</f>
        <v>-9400</v>
      </c>
      <c r="G28" s="3">
        <f>IF(G9&lt;&gt;"",-Investment*UnosPodataka!$M$12,"")</f>
        <v>-9400</v>
      </c>
      <c r="H28" s="3">
        <f>IF(H9&lt;&gt;"",-Investment*UnosPodataka!$M$12,"")</f>
        <v>-9400</v>
      </c>
      <c r="I28" s="3">
        <f>IF(I9&lt;&gt;"",-Investment*UnosPodataka!$M$12,"")</f>
        <v>-9400</v>
      </c>
      <c r="J28" s="3">
        <f>IF(J9&lt;&gt;"",-Investment*UnosPodataka!$M$12,"")</f>
        <v>-9400</v>
      </c>
      <c r="K28" s="3">
        <f>IF(K9&lt;&gt;"",-Investment*UnosPodataka!$M$12,"")</f>
        <v>-9400</v>
      </c>
      <c r="L28" s="3">
        <f>IF(L9&lt;&gt;"",-Investment*UnosPodataka!$M$12,"")</f>
        <v>-9400</v>
      </c>
      <c r="M28" s="3">
        <f>IF(M9&lt;&gt;"",-Investment*UnosPodataka!$M$12,"")</f>
        <v>-9400</v>
      </c>
      <c r="N28" s="3">
        <f>IF(N9&lt;&gt;"",-Investment*UnosPodataka!$M$12,"")</f>
        <v>-9400</v>
      </c>
      <c r="O28" s="3">
        <f>IF(O9&lt;&gt;"",-Investment*UnosPodataka!$M$12,"")</f>
        <v>-9400</v>
      </c>
      <c r="P28" s="3">
        <f>IF(P9&lt;&gt;"",-Investment*UnosPodataka!$M$12,"")</f>
        <v>-9400</v>
      </c>
      <c r="Q28" s="3">
        <f>IF(Q9&lt;&gt;"",-Investment*UnosPodataka!$M$12,"")</f>
        <v>-9400</v>
      </c>
      <c r="R28" s="3">
        <f>IF(R9&lt;&gt;"",-Investment*UnosPodataka!$M$12,"")</f>
        <v>-9400</v>
      </c>
      <c r="S28" s="3">
        <f>IF(S9&lt;&gt;"",-Investment*UnosPodataka!$M$12,"")</f>
        <v>-9400</v>
      </c>
      <c r="T28" s="3">
        <f>IF(T9&lt;&gt;"",-Investment*UnosPodataka!$M$12,"")</f>
        <v>-9400</v>
      </c>
      <c r="U28" s="3">
        <f>IF(U9&lt;&gt;"",-Investment*UnosPodataka!$M$12,"")</f>
        <v>-9400</v>
      </c>
      <c r="V28" s="3">
        <f>IF(V9&lt;&gt;"",-Investment*UnosPodataka!$M$12,"")</f>
        <v>-9400</v>
      </c>
      <c r="W28" s="3">
        <f>IF(W9&lt;&gt;"",-Investment*UnosPodataka!$M$12,"")</f>
        <v>-9400</v>
      </c>
      <c r="X28" s="3">
        <f>IF(X9&lt;&gt;"",-Investment*UnosPodataka!$M$12,"")</f>
        <v>-9400</v>
      </c>
      <c r="Y28" s="3">
        <f>IF(Y9&lt;&gt;"",-Investment*UnosPodataka!$M$12,"")</f>
        <v>-9400</v>
      </c>
    </row>
    <row r="29" spans="1:25" x14ac:dyDescent="0.25">
      <c r="A29" s="65" t="s">
        <v>111</v>
      </c>
      <c r="B29" s="65"/>
      <c r="C29" s="65"/>
      <c r="D29" s="65"/>
      <c r="F29" s="3">
        <f>IF(F9&lt;&gt;"",-(1-UnosPodataka!$M$10)*FinaIndicators!F18,"")</f>
        <v>0</v>
      </c>
      <c r="G29" s="3">
        <f>IF(G9&lt;&gt;"",-(1-UnosPodataka!$M$10)*FinaIndicators!G18,"")</f>
        <v>0</v>
      </c>
      <c r="H29" s="3">
        <f>IF(H9&lt;&gt;"",-(1-UnosPodataka!$M$10)*FinaIndicators!H18,"")</f>
        <v>0</v>
      </c>
      <c r="I29" s="3">
        <f>IF(I9&lt;&gt;"",-(1-UnosPodataka!$M$10)*FinaIndicators!I18,"")</f>
        <v>0</v>
      </c>
      <c r="J29" s="3">
        <f>IF(J9&lt;&gt;"",-(1-UnosPodataka!$M$10)*FinaIndicators!J18,"")</f>
        <v>0</v>
      </c>
      <c r="K29" s="3">
        <f>IF(K9&lt;&gt;"",-(1-UnosPodataka!$M$10)*FinaIndicators!K18,"")</f>
        <v>0</v>
      </c>
      <c r="L29" s="3">
        <f>IF(L9&lt;&gt;"",-(1-UnosPodataka!$M$10)*FinaIndicators!L18,"")</f>
        <v>0</v>
      </c>
      <c r="M29" s="3">
        <f>IF(M9&lt;&gt;"",-(1-UnosPodataka!$M$10)*FinaIndicators!M18,"")</f>
        <v>0</v>
      </c>
      <c r="N29" s="3">
        <f>IF(N9&lt;&gt;"",-(1-UnosPodataka!$M$10)*FinaIndicators!N18,"")</f>
        <v>0</v>
      </c>
      <c r="O29" s="3">
        <f>IF(O9&lt;&gt;"",-(1-UnosPodataka!$M$10)*FinaIndicators!O18,"")</f>
        <v>0</v>
      </c>
      <c r="P29" s="3">
        <f>IF(P9&lt;&gt;"",-(1-UnosPodataka!$M$10)*FinaIndicators!P18,"")</f>
        <v>0</v>
      </c>
      <c r="Q29" s="3">
        <f>IF(Q9&lt;&gt;"",-(1-UnosPodataka!$M$10)*FinaIndicators!Q18,"")</f>
        <v>0</v>
      </c>
      <c r="R29" s="3">
        <f>IF(R9&lt;&gt;"",-(1-UnosPodataka!$M$10)*FinaIndicators!R18,"")</f>
        <v>0</v>
      </c>
      <c r="S29" s="3">
        <f>IF(S9&lt;&gt;"",-(1-UnosPodataka!$M$10)*FinaIndicators!S18,"")</f>
        <v>0</v>
      </c>
      <c r="T29" s="3">
        <f>IF(T9&lt;&gt;"",-(1-UnosPodataka!$M$10)*FinaIndicators!T18,"")</f>
        <v>0</v>
      </c>
      <c r="U29" s="3">
        <f>IF(U9&lt;&gt;"",-(1-UnosPodataka!$M$10)*FinaIndicators!U18,"")</f>
        <v>0</v>
      </c>
      <c r="V29" s="3">
        <f>IF(V9&lt;&gt;"",-(1-UnosPodataka!$M$10)*FinaIndicators!V18,"")</f>
        <v>0</v>
      </c>
      <c r="W29" s="3">
        <f>IF(W9&lt;&gt;"",-(1-UnosPodataka!$M$10)*FinaIndicators!W18,"")</f>
        <v>0</v>
      </c>
      <c r="X29" s="3">
        <f>IF(X9&lt;&gt;"",-(1-UnosPodataka!$M$10)*FinaIndicators!X18,"")</f>
        <v>0</v>
      </c>
      <c r="Y29" s="3">
        <f>IF(Y9&lt;&gt;"",-(1-UnosPodataka!$M$10)*FinaIndicators!Y18,"")</f>
        <v>0</v>
      </c>
    </row>
    <row r="30" spans="1:25" x14ac:dyDescent="0.25">
      <c r="A30" s="69" t="s">
        <v>112</v>
      </c>
      <c r="B30" s="69"/>
      <c r="C30" s="69"/>
      <c r="D30" s="69"/>
      <c r="E30" s="32">
        <f>-SUM(E11:E13)</f>
        <v>-94000</v>
      </c>
      <c r="F30" s="32">
        <f>IF(F9&lt;&gt;"",SUM(F22:F29),"")</f>
        <v>-47337.651954691624</v>
      </c>
      <c r="G30" s="32">
        <f t="shared" ref="G30:Y30" si="6">IF(G9&lt;&gt;"",SUM(G22:G29),"")</f>
        <v>-47337.651954691624</v>
      </c>
      <c r="H30" s="32">
        <f t="shared" si="6"/>
        <v>-47337.651954691624</v>
      </c>
      <c r="I30" s="32">
        <f t="shared" si="6"/>
        <v>-47337.651954691624</v>
      </c>
      <c r="J30" s="32">
        <f t="shared" si="6"/>
        <v>-47337.651954691624</v>
      </c>
      <c r="K30" s="32">
        <f t="shared" si="6"/>
        <v>-47337.651954691624</v>
      </c>
      <c r="L30" s="32">
        <f t="shared" si="6"/>
        <v>-47337.651954691624</v>
      </c>
      <c r="M30" s="32">
        <f t="shared" si="6"/>
        <v>-47337.651954691624</v>
      </c>
      <c r="N30" s="32">
        <f t="shared" si="6"/>
        <v>-47337.651954691624</v>
      </c>
      <c r="O30" s="32">
        <f t="shared" si="6"/>
        <v>-47337.651954691624</v>
      </c>
      <c r="P30" s="32">
        <f t="shared" si="6"/>
        <v>-47337.651954691624</v>
      </c>
      <c r="Q30" s="32">
        <f t="shared" si="6"/>
        <v>-47337.651954691624</v>
      </c>
      <c r="R30" s="32">
        <f t="shared" si="6"/>
        <v>-34794.012004638156</v>
      </c>
      <c r="S30" s="32">
        <f t="shared" si="6"/>
        <v>-34794.012004638156</v>
      </c>
      <c r="T30" s="32">
        <f t="shared" si="6"/>
        <v>-34794.012004638156</v>
      </c>
      <c r="U30" s="32">
        <f t="shared" si="6"/>
        <v>-34794.012004638156</v>
      </c>
      <c r="V30" s="32">
        <f t="shared" si="6"/>
        <v>-34794.012004638156</v>
      </c>
      <c r="W30" s="32">
        <f t="shared" si="6"/>
        <v>-34794.012004638156</v>
      </c>
      <c r="X30" s="32">
        <f t="shared" si="6"/>
        <v>-34794.012004638156</v>
      </c>
      <c r="Y30" s="32">
        <f t="shared" si="6"/>
        <v>-34794.012004638156</v>
      </c>
    </row>
    <row r="32" spans="1:25" x14ac:dyDescent="0.25">
      <c r="A32" t="s">
        <v>163</v>
      </c>
      <c r="E32" s="3">
        <f>-SUM(E11:E13)</f>
        <v>-94000</v>
      </c>
      <c r="F32" s="3">
        <f>+F30-F28-F35</f>
        <v>-37937.651954691624</v>
      </c>
      <c r="G32" s="3">
        <f t="shared" ref="G32:Y32" si="7">+G30-G28-G35</f>
        <v>-37937.651954691624</v>
      </c>
      <c r="H32" s="3">
        <f t="shared" si="7"/>
        <v>-37937.651954691624</v>
      </c>
      <c r="I32" s="3">
        <f t="shared" si="7"/>
        <v>-37937.651954691624</v>
      </c>
      <c r="J32" s="3">
        <f t="shared" si="7"/>
        <v>-37937.651954691624</v>
      </c>
      <c r="K32" s="3">
        <f t="shared" si="7"/>
        <v>-37937.651954691624</v>
      </c>
      <c r="L32" s="3">
        <f t="shared" si="7"/>
        <v>-37937.651954691624</v>
      </c>
      <c r="M32" s="3">
        <f t="shared" si="7"/>
        <v>-37937.651954691624</v>
      </c>
      <c r="N32" s="3">
        <f t="shared" si="7"/>
        <v>-37937.651954691624</v>
      </c>
      <c r="O32" s="3">
        <f t="shared" si="7"/>
        <v>-37937.651954691624</v>
      </c>
      <c r="P32" s="3">
        <f t="shared" si="7"/>
        <v>-37937.651954691624</v>
      </c>
      <c r="Q32" s="3">
        <f t="shared" si="7"/>
        <v>-37937.651954691624</v>
      </c>
      <c r="R32" s="3">
        <f t="shared" si="7"/>
        <v>-25394.012004638156</v>
      </c>
      <c r="S32" s="3">
        <f t="shared" si="7"/>
        <v>-25394.012004638156</v>
      </c>
      <c r="T32" s="3">
        <f t="shared" si="7"/>
        <v>-25394.012004638156</v>
      </c>
      <c r="U32" s="3">
        <f t="shared" si="7"/>
        <v>-25394.012004638156</v>
      </c>
      <c r="V32" s="3">
        <f t="shared" si="7"/>
        <v>-25394.012004638156</v>
      </c>
      <c r="W32" s="3">
        <f t="shared" si="7"/>
        <v>-25394.012004638156</v>
      </c>
      <c r="X32" s="3">
        <f t="shared" si="7"/>
        <v>-25394.012004638156</v>
      </c>
      <c r="Y32" s="3">
        <f t="shared" si="7"/>
        <v>-25394.012004638156</v>
      </c>
    </row>
    <row r="33" spans="1:25" x14ac:dyDescent="0.25">
      <c r="A33" s="58" t="s">
        <v>160</v>
      </c>
      <c r="B33" s="58"/>
      <c r="C33" s="58"/>
      <c r="D33" s="58"/>
      <c r="E33" s="33"/>
      <c r="F33" s="32">
        <f>IF(F9&lt;&gt;"",F19+F30-F23,"")</f>
        <v>-9971.296228088122</v>
      </c>
      <c r="G33" s="32">
        <f t="shared" ref="G33:Y33" si="8">IF(G9&lt;&gt;"",G19+G30-G23,"")</f>
        <v>-9584.9394340817053</v>
      </c>
      <c r="H33" s="32">
        <f t="shared" si="8"/>
        <v>-9152.2198247945162</v>
      </c>
      <c r="I33" s="32">
        <f t="shared" si="8"/>
        <v>-8667.5738623928664</v>
      </c>
      <c r="J33" s="32">
        <f t="shared" si="8"/>
        <v>-8124.7703845030182</v>
      </c>
      <c r="K33" s="32">
        <f t="shared" si="8"/>
        <v>-7516.8304892663891</v>
      </c>
      <c r="L33" s="32">
        <f t="shared" si="8"/>
        <v>-6835.9378066013651</v>
      </c>
      <c r="M33" s="32">
        <f t="shared" si="8"/>
        <v>-6073.3380020165368</v>
      </c>
      <c r="N33" s="32">
        <f t="shared" si="8"/>
        <v>-5219.22622088153</v>
      </c>
      <c r="O33" s="32">
        <f t="shared" si="8"/>
        <v>-4262.6210260103217</v>
      </c>
      <c r="P33" s="32">
        <f t="shared" si="8"/>
        <v>-3191.2232077545705</v>
      </c>
      <c r="Q33" s="32">
        <f t="shared" si="8"/>
        <v>-1991.2576513081258</v>
      </c>
      <c r="R33" s="32">
        <f t="shared" si="8"/>
        <v>-647.29622808812564</v>
      </c>
      <c r="S33" s="32">
        <f t="shared" si="8"/>
        <v>-647.29622808812564</v>
      </c>
      <c r="T33" s="32">
        <f t="shared" si="8"/>
        <v>-647.29622808812564</v>
      </c>
      <c r="U33" s="32">
        <f t="shared" si="8"/>
        <v>-647.29622808812564</v>
      </c>
      <c r="V33" s="32">
        <f t="shared" si="8"/>
        <v>-647.29622808812564</v>
      </c>
      <c r="W33" s="32">
        <f t="shared" si="8"/>
        <v>-647.29622808812564</v>
      </c>
      <c r="X33" s="32">
        <f t="shared" si="8"/>
        <v>-647.29622808812564</v>
      </c>
      <c r="Y33" s="32">
        <f t="shared" si="8"/>
        <v>-647.29622808812564</v>
      </c>
    </row>
    <row r="34" spans="1:25" x14ac:dyDescent="0.25">
      <c r="A34" s="68"/>
      <c r="B34" s="68"/>
      <c r="C34" s="68"/>
      <c r="D34" s="68"/>
    </row>
    <row r="35" spans="1:25" x14ac:dyDescent="0.25">
      <c r="A35" s="65" t="s">
        <v>113</v>
      </c>
      <c r="B35" s="65"/>
      <c r="C35" s="65"/>
      <c r="D35" s="65"/>
      <c r="F35" s="3">
        <f>IF(F9&lt;&gt;"",IF(F33&gt;0,F33*VAT,0),"")</f>
        <v>0</v>
      </c>
      <c r="G35" s="3">
        <f t="shared" ref="G35:Y35" si="9">IF(G9&lt;&gt;"",IF(G33&gt;0,G33*VAT,0),"")</f>
        <v>0</v>
      </c>
      <c r="H35" s="3">
        <f t="shared" si="9"/>
        <v>0</v>
      </c>
      <c r="I35" s="3">
        <f t="shared" si="9"/>
        <v>0</v>
      </c>
      <c r="J35" s="3">
        <f t="shared" si="9"/>
        <v>0</v>
      </c>
      <c r="K35" s="3">
        <f t="shared" si="9"/>
        <v>0</v>
      </c>
      <c r="L35" s="3">
        <f t="shared" si="9"/>
        <v>0</v>
      </c>
      <c r="M35" s="3">
        <f t="shared" si="9"/>
        <v>0</v>
      </c>
      <c r="N35" s="3">
        <f t="shared" si="9"/>
        <v>0</v>
      </c>
      <c r="O35" s="3">
        <f t="shared" si="9"/>
        <v>0</v>
      </c>
      <c r="P35" s="3">
        <f t="shared" si="9"/>
        <v>0</v>
      </c>
      <c r="Q35" s="3">
        <f t="shared" si="9"/>
        <v>0</v>
      </c>
      <c r="R35" s="3">
        <f t="shared" si="9"/>
        <v>0</v>
      </c>
      <c r="S35" s="3">
        <f t="shared" si="9"/>
        <v>0</v>
      </c>
      <c r="T35" s="3">
        <f t="shared" si="9"/>
        <v>0</v>
      </c>
      <c r="U35" s="3">
        <f t="shared" si="9"/>
        <v>0</v>
      </c>
      <c r="V35" s="3">
        <f t="shared" si="9"/>
        <v>0</v>
      </c>
      <c r="W35" s="3">
        <f t="shared" si="9"/>
        <v>0</v>
      </c>
      <c r="X35" s="3">
        <f t="shared" si="9"/>
        <v>0</v>
      </c>
      <c r="Y35" s="3">
        <f t="shared" si="9"/>
        <v>0</v>
      </c>
    </row>
    <row r="36" spans="1:25" x14ac:dyDescent="0.25">
      <c r="A36" s="58" t="s">
        <v>114</v>
      </c>
      <c r="B36" s="58"/>
      <c r="C36" s="58"/>
      <c r="D36" s="58"/>
      <c r="E36" s="3"/>
      <c r="F36" s="3">
        <f>IF(F9&lt;&gt;"",F33-F35,"")</f>
        <v>-9971.296228088122</v>
      </c>
      <c r="G36" s="3">
        <f t="shared" ref="G36:Y36" si="10">IF(G9&lt;&gt;"",G33-G35,"")</f>
        <v>-9584.9394340817053</v>
      </c>
      <c r="H36" s="3">
        <f t="shared" si="10"/>
        <v>-9152.2198247945162</v>
      </c>
      <c r="I36" s="3">
        <f t="shared" si="10"/>
        <v>-8667.5738623928664</v>
      </c>
      <c r="J36" s="3">
        <f t="shared" si="10"/>
        <v>-8124.7703845030182</v>
      </c>
      <c r="K36" s="3">
        <f t="shared" si="10"/>
        <v>-7516.8304892663891</v>
      </c>
      <c r="L36" s="3">
        <f t="shared" si="10"/>
        <v>-6835.9378066013651</v>
      </c>
      <c r="M36" s="3">
        <f t="shared" si="10"/>
        <v>-6073.3380020165368</v>
      </c>
      <c r="N36" s="3">
        <f t="shared" si="10"/>
        <v>-5219.22622088153</v>
      </c>
      <c r="O36" s="3">
        <f t="shared" si="10"/>
        <v>-4262.6210260103217</v>
      </c>
      <c r="P36" s="3">
        <f t="shared" si="10"/>
        <v>-3191.2232077545705</v>
      </c>
      <c r="Q36" s="3">
        <f t="shared" si="10"/>
        <v>-1991.2576513081258</v>
      </c>
      <c r="R36" s="3">
        <f t="shared" si="10"/>
        <v>-647.29622808812564</v>
      </c>
      <c r="S36" s="3">
        <f t="shared" si="10"/>
        <v>-647.29622808812564</v>
      </c>
      <c r="T36" s="3">
        <f t="shared" si="10"/>
        <v>-647.29622808812564</v>
      </c>
      <c r="U36" s="3">
        <f t="shared" si="10"/>
        <v>-647.29622808812564</v>
      </c>
      <c r="V36" s="3">
        <f t="shared" si="10"/>
        <v>-647.29622808812564</v>
      </c>
      <c r="W36" s="3">
        <f t="shared" si="10"/>
        <v>-647.29622808812564</v>
      </c>
      <c r="X36" s="3">
        <f t="shared" si="10"/>
        <v>-647.29622808812564</v>
      </c>
      <c r="Y36" s="3">
        <f t="shared" si="10"/>
        <v>-647.29622808812564</v>
      </c>
    </row>
    <row r="38" spans="1:25" x14ac:dyDescent="0.25">
      <c r="A38" s="34" t="s">
        <v>164</v>
      </c>
      <c r="E38" s="3">
        <f>-SUM(E11:E13)</f>
        <v>-94000</v>
      </c>
      <c r="F38" s="3">
        <f>+F19+F32-F35</f>
        <v>-3790.9361781415937</v>
      </c>
      <c r="G38" s="3">
        <f t="shared" ref="G38:Y38" si="11">+G19+G32-G35</f>
        <v>-3790.9361781415937</v>
      </c>
      <c r="H38" s="3">
        <f t="shared" si="11"/>
        <v>-3790.9361781415937</v>
      </c>
      <c r="I38" s="3">
        <f t="shared" si="11"/>
        <v>-3790.9361781415937</v>
      </c>
      <c r="J38" s="3">
        <f t="shared" si="11"/>
        <v>-3790.9361781415937</v>
      </c>
      <c r="K38" s="3">
        <f t="shared" si="11"/>
        <v>-3790.9361781415937</v>
      </c>
      <c r="L38" s="3">
        <f t="shared" si="11"/>
        <v>-3790.9361781415937</v>
      </c>
      <c r="M38" s="3">
        <f t="shared" si="11"/>
        <v>-3790.9361781415937</v>
      </c>
      <c r="N38" s="3">
        <f t="shared" si="11"/>
        <v>-3790.9361781415937</v>
      </c>
      <c r="O38" s="3">
        <f t="shared" si="11"/>
        <v>-3790.9361781415937</v>
      </c>
      <c r="P38" s="3">
        <f t="shared" si="11"/>
        <v>-3790.9361781415937</v>
      </c>
      <c r="Q38" s="3">
        <f t="shared" si="11"/>
        <v>-3790.9361781415937</v>
      </c>
      <c r="R38" s="3">
        <f t="shared" si="11"/>
        <v>8752.7037719118744</v>
      </c>
      <c r="S38" s="3">
        <f t="shared" si="11"/>
        <v>8752.7037719118744</v>
      </c>
      <c r="T38" s="3">
        <f t="shared" si="11"/>
        <v>8752.7037719118744</v>
      </c>
      <c r="U38" s="3">
        <f t="shared" si="11"/>
        <v>8752.7037719118744</v>
      </c>
      <c r="V38" s="3">
        <f t="shared" si="11"/>
        <v>8752.7037719118744</v>
      </c>
      <c r="W38" s="3">
        <f t="shared" si="11"/>
        <v>8752.7037719118744</v>
      </c>
      <c r="X38" s="3">
        <f t="shared" si="11"/>
        <v>8752.7037719118744</v>
      </c>
      <c r="Y38" s="3">
        <f t="shared" si="11"/>
        <v>8752.7037719118744</v>
      </c>
    </row>
    <row r="39" spans="1:25" x14ac:dyDescent="0.25">
      <c r="A39" s="34" t="s">
        <v>165</v>
      </c>
      <c r="E39" s="3">
        <f>+E38</f>
        <v>-94000</v>
      </c>
      <c r="F39" s="3">
        <f>+E39+F38</f>
        <v>-97790.936178141594</v>
      </c>
      <c r="G39" s="3">
        <f t="shared" ref="G39:Y39" si="12">+F39+G38</f>
        <v>-101581.87235628319</v>
      </c>
      <c r="H39" s="3">
        <f t="shared" si="12"/>
        <v>-105372.80853442478</v>
      </c>
      <c r="I39" s="3">
        <f t="shared" si="12"/>
        <v>-109163.74471256637</v>
      </c>
      <c r="J39" s="3">
        <f t="shared" si="12"/>
        <v>-112954.68089070797</v>
      </c>
      <c r="K39" s="3">
        <f t="shared" si="12"/>
        <v>-116745.61706884956</v>
      </c>
      <c r="L39" s="3">
        <f t="shared" si="12"/>
        <v>-120536.55324699116</v>
      </c>
      <c r="M39" s="3">
        <f t="shared" si="12"/>
        <v>-124327.48942513275</v>
      </c>
      <c r="N39" s="3">
        <f t="shared" si="12"/>
        <v>-128118.42560327434</v>
      </c>
      <c r="O39" s="3">
        <f t="shared" si="12"/>
        <v>-131909.36178141594</v>
      </c>
      <c r="P39" s="3">
        <f t="shared" si="12"/>
        <v>-135700.29795955753</v>
      </c>
      <c r="Q39" s="3">
        <f t="shared" si="12"/>
        <v>-139491.23413769912</v>
      </c>
      <c r="R39" s="3">
        <f t="shared" si="12"/>
        <v>-130738.53036578724</v>
      </c>
      <c r="S39" s="3">
        <f t="shared" si="12"/>
        <v>-121985.82659387536</v>
      </c>
      <c r="T39" s="3">
        <f t="shared" si="12"/>
        <v>-113233.12282196348</v>
      </c>
      <c r="U39" s="3">
        <f t="shared" si="12"/>
        <v>-104480.4190500516</v>
      </c>
      <c r="V39" s="3">
        <f t="shared" si="12"/>
        <v>-95727.715278139716</v>
      </c>
      <c r="W39" s="3">
        <f t="shared" si="12"/>
        <v>-86975.011506227835</v>
      </c>
      <c r="X39" s="3">
        <f t="shared" si="12"/>
        <v>-78222.307734315953</v>
      </c>
      <c r="Y39" s="3">
        <f t="shared" si="12"/>
        <v>-69469.603962404071</v>
      </c>
    </row>
    <row r="40" spans="1:25" x14ac:dyDescent="0.25">
      <c r="A40" s="18"/>
      <c r="H40" s="3"/>
    </row>
    <row r="41" spans="1:25" x14ac:dyDescent="0.25">
      <c r="A41" s="34" t="s">
        <v>73</v>
      </c>
      <c r="E41" s="7">
        <f>+PomTab1!L25</f>
        <v>0.10309882978723406</v>
      </c>
      <c r="H41" s="3"/>
    </row>
    <row r="42" spans="1:25" x14ac:dyDescent="0.25">
      <c r="A42" s="34" t="s">
        <v>166</v>
      </c>
      <c r="E42" s="3">
        <f>-SUM(E11:E13)</f>
        <v>-94000</v>
      </c>
      <c r="F42" s="3">
        <f>IF(F9&lt;&gt;"",F38*(1+$E$41)^-F9,"")</f>
        <v>-3436.6242405250214</v>
      </c>
      <c r="G42" s="3">
        <f t="shared" ref="G42:Y42" si="13">IF(G9&lt;&gt;"",G38*(1+$E$41)^-G9,"")</f>
        <v>-3115.4273286536604</v>
      </c>
      <c r="H42" s="3">
        <f t="shared" si="13"/>
        <v>-2824.250415762443</v>
      </c>
      <c r="I42" s="3">
        <f t="shared" si="13"/>
        <v>-2560.2877453030974</v>
      </c>
      <c r="J42" s="3">
        <f t="shared" si="13"/>
        <v>-2320.9957949070854</v>
      </c>
      <c r="K42" s="3">
        <f t="shared" si="13"/>
        <v>-2104.0687672153181</v>
      </c>
      <c r="L42" s="3">
        <f t="shared" si="13"/>
        <v>-1907.4163714063143</v>
      </c>
      <c r="M42" s="3">
        <f t="shared" si="13"/>
        <v>-1729.1436813274631</v>
      </c>
      <c r="N42" s="3">
        <f t="shared" si="13"/>
        <v>-1567.5328761439994</v>
      </c>
      <c r="O42" s="3">
        <f t="shared" si="13"/>
        <v>-1421.0266875601212</v>
      </c>
      <c r="P42" s="3">
        <f t="shared" si="13"/>
        <v>-1288.2133941110326</v>
      </c>
      <c r="Q42" s="3">
        <f t="shared" si="13"/>
        <v>-1167.8132179321624</v>
      </c>
      <c r="R42" s="3">
        <f t="shared" si="13"/>
        <v>2444.3011947566865</v>
      </c>
      <c r="S42" s="3">
        <f t="shared" si="13"/>
        <v>2215.8496852255239</v>
      </c>
      <c r="T42" s="3">
        <f t="shared" si="13"/>
        <v>2008.7499192188588</v>
      </c>
      <c r="U42" s="3">
        <f t="shared" si="13"/>
        <v>1821.0063005925831</v>
      </c>
      <c r="V42" s="3">
        <f t="shared" si="13"/>
        <v>1650.8097474310794</v>
      </c>
      <c r="W42" s="3">
        <f t="shared" si="13"/>
        <v>1496.520259884137</v>
      </c>
      <c r="X42" s="3">
        <f t="shared" si="13"/>
        <v>1356.6511172646119</v>
      </c>
      <c r="Y42" s="3">
        <f t="shared" si="13"/>
        <v>1229.8545521313654</v>
      </c>
    </row>
    <row r="43" spans="1:25" x14ac:dyDescent="0.25">
      <c r="A43" s="34" t="s">
        <v>167</v>
      </c>
      <c r="E43" s="3">
        <f>+E42</f>
        <v>-94000</v>
      </c>
      <c r="F43" s="3">
        <f>+E43+F42</f>
        <v>-97436.624240525023</v>
      </c>
      <c r="G43" s="3">
        <f t="shared" ref="G43:Y43" si="14">+F43+G42</f>
        <v>-100552.05156917869</v>
      </c>
      <c r="H43" s="3">
        <f t="shared" si="14"/>
        <v>-103376.30198494114</v>
      </c>
      <c r="I43" s="3">
        <f t="shared" si="14"/>
        <v>-105936.58973024423</v>
      </c>
      <c r="J43" s="3">
        <f t="shared" si="14"/>
        <v>-108257.58552515131</v>
      </c>
      <c r="K43" s="3">
        <f t="shared" si="14"/>
        <v>-110361.65429236663</v>
      </c>
      <c r="L43" s="3">
        <f t="shared" si="14"/>
        <v>-112269.07066377295</v>
      </c>
      <c r="M43" s="3">
        <f t="shared" si="14"/>
        <v>-113998.21434510041</v>
      </c>
      <c r="N43" s="3">
        <f t="shared" si="14"/>
        <v>-115565.74722124441</v>
      </c>
      <c r="O43" s="3">
        <f t="shared" si="14"/>
        <v>-116986.77390880453</v>
      </c>
      <c r="P43" s="3">
        <f t="shared" si="14"/>
        <v>-118274.98730291557</v>
      </c>
      <c r="Q43" s="3">
        <f t="shared" si="14"/>
        <v>-119442.80052084774</v>
      </c>
      <c r="R43" s="3">
        <f t="shared" si="14"/>
        <v>-116998.49932609106</v>
      </c>
      <c r="S43" s="3">
        <f t="shared" si="14"/>
        <v>-114782.64964086554</v>
      </c>
      <c r="T43" s="3">
        <f t="shared" si="14"/>
        <v>-112773.89972164668</v>
      </c>
      <c r="U43" s="3">
        <f t="shared" si="14"/>
        <v>-110952.8934210541</v>
      </c>
      <c r="V43" s="3">
        <f t="shared" si="14"/>
        <v>-109302.08367362303</v>
      </c>
      <c r="W43" s="3">
        <f t="shared" si="14"/>
        <v>-107805.56341373888</v>
      </c>
      <c r="X43" s="3">
        <f t="shared" si="14"/>
        <v>-106448.91229647427</v>
      </c>
      <c r="Y43" s="3">
        <f t="shared" si="14"/>
        <v>-105219.05774434291</v>
      </c>
    </row>
    <row r="44" spans="1:25" x14ac:dyDescent="0.25">
      <c r="A44" s="34"/>
      <c r="H44" s="3"/>
    </row>
    <row r="45" spans="1:25" x14ac:dyDescent="0.25">
      <c r="A45" s="35" t="s">
        <v>168</v>
      </c>
      <c r="B45" s="37"/>
      <c r="C45" s="37"/>
      <c r="D45" s="37"/>
      <c r="E45" s="38">
        <f>+NPV(E41,E38:Y38)</f>
        <v>-95384.978120806772</v>
      </c>
      <c r="F45" s="37"/>
    </row>
    <row r="46" spans="1:25" x14ac:dyDescent="0.25">
      <c r="A46" s="35" t="s">
        <v>169</v>
      </c>
      <c r="B46" s="37"/>
      <c r="C46" s="37"/>
      <c r="D46" s="37"/>
      <c r="E46" s="39">
        <f>+IRR(E38:Y38,10)</f>
        <v>-4.7512196265307671E-2</v>
      </c>
      <c r="F46" s="37"/>
      <c r="G46" s="3"/>
    </row>
    <row r="47" spans="1:25" x14ac:dyDescent="0.25">
      <c r="A47" s="35" t="s">
        <v>170</v>
      </c>
      <c r="B47" s="37"/>
      <c r="C47" s="37"/>
      <c r="D47" s="37"/>
      <c r="E47" s="36" cm="1">
        <f t="array" ref="E47">+NPV(E41,F19:Y19/-NPV(E41,E32:Y32))</f>
        <v>0.80540321544710924</v>
      </c>
      <c r="F47" s="37"/>
    </row>
    <row r="48" spans="1:25" x14ac:dyDescent="0.25">
      <c r="A48" s="35" t="s">
        <v>171</v>
      </c>
      <c r="B48" s="37"/>
      <c r="C48" s="37"/>
      <c r="D48" s="37"/>
      <c r="E48" s="37" t="e" cm="1">
        <f t="array" ref="E48">+LOOKUP(INDEX(E39:Y39,MATCH(TRUE,E39:Y39&gt;0,0)),E39:Y39,E9:Y9)</f>
        <v>#N/A</v>
      </c>
      <c r="F48" s="37" t="s">
        <v>190</v>
      </c>
    </row>
    <row r="49" spans="1:26" x14ac:dyDescent="0.25">
      <c r="A49" s="35" t="s">
        <v>172</v>
      </c>
      <c r="B49" s="37"/>
      <c r="C49" s="37"/>
      <c r="D49" s="37"/>
      <c r="E49" s="37" t="e" cm="1">
        <f t="array" ref="E49">+LOOKUP(INDEX(E43:Y43,MATCH(TRUE,E43:Y43&gt;0,0)),E43:Y43,E9:Y9)</f>
        <v>#N/A</v>
      </c>
      <c r="F49" s="37" t="s">
        <v>190</v>
      </c>
    </row>
    <row r="52" spans="1:26" x14ac:dyDescent="0.25">
      <c r="A52" s="65" t="s">
        <v>173</v>
      </c>
      <c r="B52" s="65"/>
      <c r="C52" s="65"/>
      <c r="D52" s="65"/>
      <c r="E52" s="3">
        <f>+E32</f>
        <v>-94000</v>
      </c>
      <c r="F52" s="3">
        <f>+F32</f>
        <v>-37937.651954691624</v>
      </c>
      <c r="G52" s="3">
        <f t="shared" ref="G52:Y52" si="15">+G32</f>
        <v>-37937.651954691624</v>
      </c>
      <c r="H52" s="3">
        <f t="shared" si="15"/>
        <v>-37937.651954691624</v>
      </c>
      <c r="I52" s="3">
        <f t="shared" si="15"/>
        <v>-37937.651954691624</v>
      </c>
      <c r="J52" s="3">
        <f t="shared" si="15"/>
        <v>-37937.651954691624</v>
      </c>
      <c r="K52" s="3">
        <f t="shared" si="15"/>
        <v>-37937.651954691624</v>
      </c>
      <c r="L52" s="3">
        <f t="shared" si="15"/>
        <v>-37937.651954691624</v>
      </c>
      <c r="M52" s="3">
        <f t="shared" si="15"/>
        <v>-37937.651954691624</v>
      </c>
      <c r="N52" s="3">
        <f t="shared" si="15"/>
        <v>-37937.651954691624</v>
      </c>
      <c r="O52" s="3">
        <f t="shared" si="15"/>
        <v>-37937.651954691624</v>
      </c>
      <c r="P52" s="3">
        <f t="shared" si="15"/>
        <v>-37937.651954691624</v>
      </c>
      <c r="Q52" s="3">
        <f t="shared" si="15"/>
        <v>-37937.651954691624</v>
      </c>
      <c r="R52" s="3">
        <f t="shared" si="15"/>
        <v>-25394.012004638156</v>
      </c>
      <c r="S52" s="3">
        <f t="shared" si="15"/>
        <v>-25394.012004638156</v>
      </c>
      <c r="T52" s="3">
        <f t="shared" si="15"/>
        <v>-25394.012004638156</v>
      </c>
      <c r="U52" s="3">
        <f t="shared" si="15"/>
        <v>-25394.012004638156</v>
      </c>
      <c r="V52" s="3">
        <f t="shared" si="15"/>
        <v>-25394.012004638156</v>
      </c>
      <c r="W52" s="3">
        <f t="shared" si="15"/>
        <v>-25394.012004638156</v>
      </c>
      <c r="X52" s="3">
        <f t="shared" si="15"/>
        <v>-25394.012004638156</v>
      </c>
      <c r="Y52" s="3">
        <f t="shared" si="15"/>
        <v>-25394.012004638156</v>
      </c>
      <c r="Z52" s="3"/>
    </row>
    <row r="53" spans="1:26" x14ac:dyDescent="0.25">
      <c r="A53" s="65" t="s">
        <v>174</v>
      </c>
      <c r="B53" s="65"/>
      <c r="C53" s="65"/>
      <c r="D53" s="65"/>
      <c r="E53" s="3">
        <f>IF(E9&lt;&gt;"",E52*(1+$E$41)^-E9,"")</f>
        <v>-94000</v>
      </c>
      <c r="F53" s="3">
        <f>IF(F9&lt;&gt;"",F52*(1+$E$41)^-F9,"")</f>
        <v>-34391.888496526684</v>
      </c>
      <c r="G53" s="3">
        <f>IF(G9&lt;&gt;"",G52*(1+$E$41)^-G9,"")</f>
        <v>-31177.522419419296</v>
      </c>
      <c r="H53" s="3">
        <f t="shared" ref="H53:Y53" si="16">IF(H9&lt;&gt;"",H52*(1+$E$41)^-H9,"")</f>
        <v>-28263.580358826799</v>
      </c>
      <c r="I53" s="3">
        <f t="shared" si="16"/>
        <v>-25621.983811077276</v>
      </c>
      <c r="J53" s="3">
        <f t="shared" si="16"/>
        <v>-23227.278571240298</v>
      </c>
      <c r="K53" s="3">
        <f t="shared" si="16"/>
        <v>-21056.389458522386</v>
      </c>
      <c r="L53" s="3">
        <f t="shared" si="16"/>
        <v>-19088.397965741424</v>
      </c>
      <c r="M53" s="3">
        <f t="shared" si="16"/>
        <v>-17304.340690328896</v>
      </c>
      <c r="N53" s="3">
        <f t="shared" si="16"/>
        <v>-15687.026604557783</v>
      </c>
      <c r="O53" s="3">
        <f t="shared" si="16"/>
        <v>-14220.871404227215</v>
      </c>
      <c r="P53" s="3">
        <f t="shared" si="16"/>
        <v>-12891.747339601599</v>
      </c>
      <c r="Q53" s="3">
        <f t="shared" si="16"/>
        <v>-11686.84708158757</v>
      </c>
      <c r="R53" s="3">
        <f t="shared" si="16"/>
        <v>-7091.5931236919323</v>
      </c>
      <c r="S53" s="3">
        <f t="shared" si="16"/>
        <v>-6428.7921736439157</v>
      </c>
      <c r="T53" s="3">
        <f t="shared" si="16"/>
        <v>-5827.9385310234647</v>
      </c>
      <c r="U53" s="3">
        <f t="shared" si="16"/>
        <v>-5283.2424200355272</v>
      </c>
      <c r="V53" s="3">
        <f t="shared" si="16"/>
        <v>-4789.4551941955724</v>
      </c>
      <c r="W53" s="3">
        <f t="shared" si="16"/>
        <v>-4341.8187608080079</v>
      </c>
      <c r="X53" s="3">
        <f t="shared" si="16"/>
        <v>-3936.0197323801517</v>
      </c>
      <c r="Y53" s="3">
        <f t="shared" si="16"/>
        <v>-3568.1478631786167</v>
      </c>
      <c r="Z53" s="3"/>
    </row>
    <row r="54" spans="1:26" x14ac:dyDescent="0.25">
      <c r="A54" s="65" t="s">
        <v>175</v>
      </c>
      <c r="B54" s="65"/>
      <c r="C54" s="65"/>
      <c r="D54" s="65"/>
      <c r="E54" s="3">
        <f>+E53</f>
        <v>-94000</v>
      </c>
      <c r="F54" s="3">
        <f>+E54+F53</f>
        <v>-128391.88849652669</v>
      </c>
      <c r="G54" s="3">
        <f t="shared" ref="G54:Y54" si="17">IF(G9&lt;&gt;"",F54+G53,"")</f>
        <v>-159569.41091594598</v>
      </c>
      <c r="H54" s="3">
        <f t="shared" si="17"/>
        <v>-187832.99127477276</v>
      </c>
      <c r="I54" s="3">
        <f t="shared" si="17"/>
        <v>-213454.97508585005</v>
      </c>
      <c r="J54" s="3">
        <f t="shared" si="17"/>
        <v>-236682.25365709036</v>
      </c>
      <c r="K54" s="3">
        <f t="shared" si="17"/>
        <v>-257738.64311561274</v>
      </c>
      <c r="L54" s="3">
        <f t="shared" si="17"/>
        <v>-276827.04108135414</v>
      </c>
      <c r="M54" s="3">
        <f t="shared" si="17"/>
        <v>-294131.38177168305</v>
      </c>
      <c r="N54" s="3">
        <f t="shared" si="17"/>
        <v>-309818.40837624081</v>
      </c>
      <c r="O54" s="3">
        <f t="shared" si="17"/>
        <v>-324039.27978046803</v>
      </c>
      <c r="P54" s="3">
        <f t="shared" si="17"/>
        <v>-336931.0271200696</v>
      </c>
      <c r="Q54" s="3">
        <f t="shared" si="17"/>
        <v>-348617.87420165719</v>
      </c>
      <c r="R54" s="3">
        <f t="shared" si="17"/>
        <v>-355709.46732534911</v>
      </c>
      <c r="S54" s="3">
        <f t="shared" si="17"/>
        <v>-362138.25949899299</v>
      </c>
      <c r="T54" s="3">
        <f t="shared" si="17"/>
        <v>-367966.19803001644</v>
      </c>
      <c r="U54" s="3">
        <f t="shared" si="17"/>
        <v>-373249.44045005197</v>
      </c>
      <c r="V54" s="3">
        <f t="shared" si="17"/>
        <v>-378038.89564424753</v>
      </c>
      <c r="W54" s="3">
        <f t="shared" si="17"/>
        <v>-382380.71440505557</v>
      </c>
      <c r="X54" s="3">
        <f t="shared" si="17"/>
        <v>-386316.73413743573</v>
      </c>
      <c r="Y54" s="3">
        <f t="shared" si="17"/>
        <v>-389884.88200061437</v>
      </c>
    </row>
    <row r="55" spans="1:26" x14ac:dyDescent="0.25">
      <c r="A55" s="65" t="s">
        <v>176</v>
      </c>
      <c r="B55" s="65"/>
      <c r="C55" s="65"/>
      <c r="D55" s="65"/>
      <c r="F55" s="3">
        <f t="shared" ref="F55:Y55" si="18">IF(F9&lt;&gt;"",F19,"")</f>
        <v>34146.715776550031</v>
      </c>
      <c r="G55" s="3">
        <f t="shared" si="18"/>
        <v>34146.715776550031</v>
      </c>
      <c r="H55" s="3">
        <f t="shared" si="18"/>
        <v>34146.715776550031</v>
      </c>
      <c r="I55" s="3">
        <f t="shared" si="18"/>
        <v>34146.715776550031</v>
      </c>
      <c r="J55" s="3">
        <f t="shared" si="18"/>
        <v>34146.715776550031</v>
      </c>
      <c r="K55" s="3">
        <f t="shared" si="18"/>
        <v>34146.715776550031</v>
      </c>
      <c r="L55" s="3">
        <f t="shared" si="18"/>
        <v>34146.715776550031</v>
      </c>
      <c r="M55" s="3">
        <f t="shared" si="18"/>
        <v>34146.715776550031</v>
      </c>
      <c r="N55" s="3">
        <f t="shared" si="18"/>
        <v>34146.715776550031</v>
      </c>
      <c r="O55" s="3">
        <f t="shared" si="18"/>
        <v>34146.715776550031</v>
      </c>
      <c r="P55" s="3">
        <f t="shared" si="18"/>
        <v>34146.715776550031</v>
      </c>
      <c r="Q55" s="3">
        <f t="shared" si="18"/>
        <v>34146.715776550031</v>
      </c>
      <c r="R55" s="3">
        <f t="shared" si="18"/>
        <v>34146.715776550031</v>
      </c>
      <c r="S55" s="3">
        <f t="shared" si="18"/>
        <v>34146.715776550031</v>
      </c>
      <c r="T55" s="3">
        <f t="shared" si="18"/>
        <v>34146.715776550031</v>
      </c>
      <c r="U55" s="3">
        <f t="shared" si="18"/>
        <v>34146.715776550031</v>
      </c>
      <c r="V55" s="3">
        <f t="shared" si="18"/>
        <v>34146.715776550031</v>
      </c>
      <c r="W55" s="3">
        <f t="shared" si="18"/>
        <v>34146.715776550031</v>
      </c>
      <c r="X55" s="3">
        <f t="shared" si="18"/>
        <v>34146.715776550031</v>
      </c>
      <c r="Y55" s="3">
        <f t="shared" si="18"/>
        <v>34146.715776550031</v>
      </c>
    </row>
    <row r="56" spans="1:26" x14ac:dyDescent="0.25">
      <c r="A56" s="65" t="s">
        <v>177</v>
      </c>
      <c r="B56" s="65"/>
      <c r="C56" s="65"/>
      <c r="D56" s="65"/>
      <c r="F56" s="3">
        <f>IF(F9&lt;&gt;"",F55*(1+$E$41)^-F9,"")</f>
        <v>30955.264256001661</v>
      </c>
      <c r="G56" s="3">
        <f t="shared" ref="G56:Y56" si="19">IF(G9&lt;&gt;"",G55*(1+$E$41)^-G9,"")</f>
        <v>28062.095090765637</v>
      </c>
      <c r="H56" s="3">
        <f t="shared" si="19"/>
        <v>25439.329943064356</v>
      </c>
      <c r="I56" s="3">
        <f t="shared" si="19"/>
        <v>23061.696065774177</v>
      </c>
      <c r="J56" s="3">
        <f t="shared" si="19"/>
        <v>20906.282776333213</v>
      </c>
      <c r="K56" s="3">
        <f t="shared" si="19"/>
        <v>18952.320691307068</v>
      </c>
      <c r="L56" s="3">
        <f t="shared" si="19"/>
        <v>17180.98159433511</v>
      </c>
      <c r="M56" s="3">
        <f t="shared" si="19"/>
        <v>15575.197009001435</v>
      </c>
      <c r="N56" s="3">
        <f t="shared" si="19"/>
        <v>14119.493728413783</v>
      </c>
      <c r="O56" s="3">
        <f t="shared" si="19"/>
        <v>12799.844716667094</v>
      </c>
      <c r="P56" s="3">
        <f t="shared" si="19"/>
        <v>11603.533945490568</v>
      </c>
      <c r="Q56" s="3">
        <f t="shared" si="19"/>
        <v>10519.033863655406</v>
      </c>
      <c r="R56" s="3">
        <f t="shared" si="19"/>
        <v>9535.8943184486179</v>
      </c>
      <c r="S56" s="3">
        <f t="shared" si="19"/>
        <v>8644.6418588694396</v>
      </c>
      <c r="T56" s="3">
        <f t="shared" si="19"/>
        <v>7836.6884502423236</v>
      </c>
      <c r="U56" s="3">
        <f t="shared" si="19"/>
        <v>7104.2487206281103</v>
      </c>
      <c r="V56" s="3">
        <f t="shared" si="19"/>
        <v>6440.2649416266522</v>
      </c>
      <c r="W56" s="3">
        <f t="shared" si="19"/>
        <v>5838.3390206921449</v>
      </c>
      <c r="X56" s="3">
        <f t="shared" si="19"/>
        <v>5292.6708496447636</v>
      </c>
      <c r="Y56" s="3">
        <f t="shared" si="19"/>
        <v>4798.0024153099821</v>
      </c>
    </row>
    <row r="57" spans="1:26" x14ac:dyDescent="0.25">
      <c r="A57" s="65" t="s">
        <v>178</v>
      </c>
      <c r="B57" s="65"/>
      <c r="C57" s="65"/>
      <c r="D57" s="65"/>
      <c r="F57" s="3">
        <f>+E57+F56</f>
        <v>30955.264256001661</v>
      </c>
      <c r="G57" s="3">
        <f>+F57+G56</f>
        <v>59017.359346767298</v>
      </c>
      <c r="H57" s="3">
        <f t="shared" ref="H57:Y57" si="20">IF(H9&lt;&gt;"",G57+H56,"")</f>
        <v>84456.689289831658</v>
      </c>
      <c r="I57" s="3">
        <f t="shared" si="20"/>
        <v>107518.38535560583</v>
      </c>
      <c r="J57" s="3">
        <f t="shared" si="20"/>
        <v>128424.66813193905</v>
      </c>
      <c r="K57" s="3">
        <f t="shared" si="20"/>
        <v>147376.98882324612</v>
      </c>
      <c r="L57" s="3">
        <f t="shared" si="20"/>
        <v>164557.97041758124</v>
      </c>
      <c r="M57" s="3">
        <f t="shared" si="20"/>
        <v>180133.16742658266</v>
      </c>
      <c r="N57" s="3">
        <f t="shared" si="20"/>
        <v>194252.66115499643</v>
      </c>
      <c r="O57" s="3">
        <f t="shared" si="20"/>
        <v>207052.50587166351</v>
      </c>
      <c r="P57" s="3">
        <f t="shared" si="20"/>
        <v>218656.03981715409</v>
      </c>
      <c r="Q57" s="3">
        <f t="shared" si="20"/>
        <v>229175.0736808095</v>
      </c>
      <c r="R57" s="3">
        <f t="shared" si="20"/>
        <v>238710.96799925811</v>
      </c>
      <c r="S57" s="3">
        <f t="shared" si="20"/>
        <v>247355.60985812754</v>
      </c>
      <c r="T57" s="3">
        <f t="shared" si="20"/>
        <v>255192.29830836988</v>
      </c>
      <c r="U57" s="3">
        <f t="shared" si="20"/>
        <v>262296.54702899797</v>
      </c>
      <c r="V57" s="3">
        <f t="shared" si="20"/>
        <v>268736.81197062461</v>
      </c>
      <c r="W57" s="3">
        <f t="shared" si="20"/>
        <v>274575.15099131677</v>
      </c>
      <c r="X57" s="3">
        <f t="shared" si="20"/>
        <v>279867.82184096152</v>
      </c>
      <c r="Y57" s="3">
        <f t="shared" si="20"/>
        <v>284665.82425627153</v>
      </c>
    </row>
    <row r="58" spans="1:26" x14ac:dyDescent="0.25">
      <c r="A58" s="65" t="s">
        <v>179</v>
      </c>
      <c r="B58" s="65"/>
      <c r="C58" s="65"/>
      <c r="D58" s="65"/>
      <c r="F58" s="3">
        <f t="shared" ref="F58:Y58" si="21">IF(F9&lt;&gt;"",F57+F54,"")</f>
        <v>-97436.624240525038</v>
      </c>
      <c r="G58" s="3">
        <f t="shared" si="21"/>
        <v>-100552.05156917867</v>
      </c>
      <c r="H58" s="3">
        <f t="shared" si="21"/>
        <v>-103376.30198494111</v>
      </c>
      <c r="I58" s="3">
        <f t="shared" si="21"/>
        <v>-105936.58973024422</v>
      </c>
      <c r="J58" s="3">
        <f t="shared" si="21"/>
        <v>-108257.58552515131</v>
      </c>
      <c r="K58" s="3">
        <f t="shared" si="21"/>
        <v>-110361.65429236661</v>
      </c>
      <c r="L58" s="3">
        <f t="shared" si="21"/>
        <v>-112269.0706637729</v>
      </c>
      <c r="M58" s="3">
        <f t="shared" si="21"/>
        <v>-113998.21434510039</v>
      </c>
      <c r="N58" s="3">
        <f t="shared" si="21"/>
        <v>-115565.74722124438</v>
      </c>
      <c r="O58" s="3">
        <f t="shared" si="21"/>
        <v>-116986.77390880452</v>
      </c>
      <c r="P58" s="3">
        <f t="shared" si="21"/>
        <v>-118274.98730291551</v>
      </c>
      <c r="Q58" s="3">
        <f t="shared" si="21"/>
        <v>-119442.8005208477</v>
      </c>
      <c r="R58" s="3">
        <f t="shared" si="21"/>
        <v>-116998.499326091</v>
      </c>
      <c r="S58" s="3">
        <f t="shared" si="21"/>
        <v>-114782.64964086545</v>
      </c>
      <c r="T58" s="3">
        <f t="shared" si="21"/>
        <v>-112773.89972164657</v>
      </c>
      <c r="U58" s="3">
        <f t="shared" si="21"/>
        <v>-110952.893421054</v>
      </c>
      <c r="V58" s="3">
        <f t="shared" si="21"/>
        <v>-109302.08367362292</v>
      </c>
      <c r="W58" s="3">
        <f t="shared" si="21"/>
        <v>-107805.5634137388</v>
      </c>
      <c r="X58" s="3">
        <f t="shared" si="21"/>
        <v>-106448.91229647421</v>
      </c>
      <c r="Y58" s="3">
        <f t="shared" si="21"/>
        <v>-105219.05774434283</v>
      </c>
    </row>
    <row r="59" spans="1:26" x14ac:dyDescent="0.25">
      <c r="A59" s="40" t="s">
        <v>180</v>
      </c>
      <c r="B59" s="40"/>
      <c r="C59" s="40"/>
      <c r="D59" s="40"/>
      <c r="E59" s="37"/>
      <c r="F59" s="38">
        <f>-F52/HEAT</f>
        <v>75.875303909383248</v>
      </c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1" spans="1:26" x14ac:dyDescent="0.25">
      <c r="A61" s="65" t="s">
        <v>115</v>
      </c>
      <c r="B61" s="65"/>
      <c r="C61" s="65"/>
      <c r="D61" s="65"/>
      <c r="E61" s="3">
        <f>-E54</f>
        <v>94000</v>
      </c>
      <c r="F61" s="3">
        <f t="shared" ref="F61:Y61" si="22">-F54</f>
        <v>128391.88849652669</v>
      </c>
      <c r="G61" s="3">
        <f t="shared" si="22"/>
        <v>159569.41091594598</v>
      </c>
      <c r="H61" s="3">
        <f t="shared" si="22"/>
        <v>187832.99127477276</v>
      </c>
      <c r="I61" s="3">
        <f t="shared" si="22"/>
        <v>213454.97508585005</v>
      </c>
      <c r="J61" s="3">
        <f t="shared" si="22"/>
        <v>236682.25365709036</v>
      </c>
      <c r="K61" s="3">
        <f t="shared" si="22"/>
        <v>257738.64311561274</v>
      </c>
      <c r="L61" s="3">
        <f t="shared" si="22"/>
        <v>276827.04108135414</v>
      </c>
      <c r="M61" s="3">
        <f t="shared" si="22"/>
        <v>294131.38177168305</v>
      </c>
      <c r="N61" s="3">
        <f t="shared" si="22"/>
        <v>309818.40837624081</v>
      </c>
      <c r="O61" s="3">
        <f t="shared" si="22"/>
        <v>324039.27978046803</v>
      </c>
      <c r="P61" s="3">
        <f t="shared" si="22"/>
        <v>336931.0271200696</v>
      </c>
      <c r="Q61" s="3">
        <f t="shared" si="22"/>
        <v>348617.87420165719</v>
      </c>
      <c r="R61" s="3">
        <f t="shared" si="22"/>
        <v>355709.46732534911</v>
      </c>
      <c r="S61" s="3">
        <f t="shared" si="22"/>
        <v>362138.25949899299</v>
      </c>
      <c r="T61" s="3">
        <f t="shared" si="22"/>
        <v>367966.19803001644</v>
      </c>
      <c r="U61" s="3">
        <f t="shared" si="22"/>
        <v>373249.44045005197</v>
      </c>
      <c r="V61" s="3">
        <f t="shared" si="22"/>
        <v>378038.89564424753</v>
      </c>
      <c r="W61" s="3">
        <f t="shared" si="22"/>
        <v>382380.71440505557</v>
      </c>
      <c r="X61" s="3">
        <f t="shared" si="22"/>
        <v>386316.73413743573</v>
      </c>
      <c r="Y61" s="3">
        <f t="shared" si="22"/>
        <v>389884.88200061437</v>
      </c>
    </row>
    <row r="62" spans="1:26" x14ac:dyDescent="0.25">
      <c r="A62" s="65" t="s">
        <v>116</v>
      </c>
      <c r="B62" s="65"/>
      <c r="C62" s="65"/>
      <c r="D62" s="65"/>
      <c r="F62" s="3">
        <f>+F57</f>
        <v>30955.264256001661</v>
      </c>
      <c r="G62" s="3">
        <f t="shared" ref="G62:Y62" si="23">+G57</f>
        <v>59017.359346767298</v>
      </c>
      <c r="H62" s="3">
        <f t="shared" si="23"/>
        <v>84456.689289831658</v>
      </c>
      <c r="I62" s="3">
        <f t="shared" si="23"/>
        <v>107518.38535560583</v>
      </c>
      <c r="J62" s="3">
        <f t="shared" si="23"/>
        <v>128424.66813193905</v>
      </c>
      <c r="K62" s="3">
        <f t="shared" si="23"/>
        <v>147376.98882324612</v>
      </c>
      <c r="L62" s="3">
        <f t="shared" si="23"/>
        <v>164557.97041758124</v>
      </c>
      <c r="M62" s="3">
        <f t="shared" si="23"/>
        <v>180133.16742658266</v>
      </c>
      <c r="N62" s="3">
        <f t="shared" si="23"/>
        <v>194252.66115499643</v>
      </c>
      <c r="O62" s="3">
        <f t="shared" si="23"/>
        <v>207052.50587166351</v>
      </c>
      <c r="P62" s="3">
        <f t="shared" si="23"/>
        <v>218656.03981715409</v>
      </c>
      <c r="Q62" s="3">
        <f t="shared" si="23"/>
        <v>229175.0736808095</v>
      </c>
      <c r="R62" s="3">
        <f t="shared" si="23"/>
        <v>238710.96799925811</v>
      </c>
      <c r="S62" s="3">
        <f t="shared" si="23"/>
        <v>247355.60985812754</v>
      </c>
      <c r="T62" s="3">
        <f t="shared" si="23"/>
        <v>255192.29830836988</v>
      </c>
      <c r="U62" s="3">
        <f t="shared" si="23"/>
        <v>262296.54702899797</v>
      </c>
      <c r="V62" s="3">
        <f t="shared" si="23"/>
        <v>268736.81197062461</v>
      </c>
      <c r="W62" s="3">
        <f t="shared" si="23"/>
        <v>274575.15099131677</v>
      </c>
      <c r="X62" s="3">
        <f t="shared" si="23"/>
        <v>279867.82184096152</v>
      </c>
      <c r="Y62" s="3">
        <f t="shared" si="23"/>
        <v>284665.82425627153</v>
      </c>
    </row>
  </sheetData>
  <sheetProtection selectLockedCells="1"/>
  <mergeCells count="37">
    <mergeCell ref="A17:D17"/>
    <mergeCell ref="A21:D21"/>
    <mergeCell ref="I7:J7"/>
    <mergeCell ref="N7:O7"/>
    <mergeCell ref="A7:D7"/>
    <mergeCell ref="A9:D9"/>
    <mergeCell ref="A11:D11"/>
    <mergeCell ref="A12:D12"/>
    <mergeCell ref="A13:D13"/>
    <mergeCell ref="A18:D18"/>
    <mergeCell ref="A20:D20"/>
    <mergeCell ref="A14:D14"/>
    <mergeCell ref="A19:D19"/>
    <mergeCell ref="A16:D16"/>
    <mergeCell ref="A15:D15"/>
    <mergeCell ref="A27:D27"/>
    <mergeCell ref="A30:D30"/>
    <mergeCell ref="A29:D29"/>
    <mergeCell ref="A24:D24"/>
    <mergeCell ref="A26:D26"/>
    <mergeCell ref="A28:D28"/>
    <mergeCell ref="G3:J3"/>
    <mergeCell ref="A58:D58"/>
    <mergeCell ref="A61:D61"/>
    <mergeCell ref="A62:D62"/>
    <mergeCell ref="A57:D57"/>
    <mergeCell ref="A33:D33"/>
    <mergeCell ref="A34:D34"/>
    <mergeCell ref="A35:D35"/>
    <mergeCell ref="A36:D36"/>
    <mergeCell ref="A52:D52"/>
    <mergeCell ref="A53:D53"/>
    <mergeCell ref="A54:D54"/>
    <mergeCell ref="A55:D55"/>
    <mergeCell ref="A56:D56"/>
    <mergeCell ref="A22:D22"/>
    <mergeCell ref="A25:D25"/>
  </mergeCells>
  <dataValidations disablePrompts="1" count="2">
    <dataValidation allowBlank="1" showInputMessage="1" showErrorMessage="1" promptTitle="BrutoDobit" prompt="Bruto dobit prema Bilansu uspeha, ne obuhvata otplatu glavice." sqref="A33:D33"/>
    <dataValidation allowBlank="1" showInputMessage="1" showErrorMessage="1" promptTitle="CashFlow" prompt="Ne obuhvata amortizaciju, ali obuhvata otplatu glavnice." sqref="A38"/>
  </dataValidations>
  <hyperlinks>
    <hyperlink ref="I7:J7" location="Annuity!I4" display="NAZAD"/>
    <hyperlink ref="N7:O7" location="Econ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3:Z63"/>
  <sheetViews>
    <sheetView showZeros="0" topLeftCell="A46" zoomScale="80" zoomScaleNormal="80" workbookViewId="0">
      <selection activeCell="E50" sqref="E50"/>
    </sheetView>
  </sheetViews>
  <sheetFormatPr defaultRowHeight="15" x14ac:dyDescent="0.25"/>
  <cols>
    <col min="4" max="4" width="12.7109375" customWidth="1"/>
    <col min="5" max="5" width="14.28515625" customWidth="1"/>
    <col min="6" max="6" width="13.140625" customWidth="1"/>
    <col min="7" max="7" width="13.28515625" customWidth="1"/>
    <col min="8" max="9" width="13.140625" customWidth="1"/>
    <col min="10" max="10" width="13.7109375" customWidth="1"/>
    <col min="11" max="11" width="13.140625" customWidth="1"/>
    <col min="12" max="12" width="14" customWidth="1"/>
    <col min="13" max="13" width="13.85546875" customWidth="1"/>
    <col min="14" max="14" width="14.28515625" customWidth="1"/>
    <col min="15" max="15" width="14.42578125" customWidth="1"/>
    <col min="16" max="16" width="14.28515625" customWidth="1"/>
    <col min="17" max="17" width="13.85546875" customWidth="1"/>
    <col min="18" max="18" width="14" customWidth="1"/>
    <col min="19" max="19" width="14.5703125" customWidth="1"/>
    <col min="20" max="20" width="14.42578125" customWidth="1"/>
    <col min="21" max="21" width="14" customWidth="1"/>
    <col min="22" max="22" width="13.85546875" customWidth="1"/>
    <col min="23" max="23" width="15.140625" customWidth="1"/>
    <col min="24" max="24" width="14.7109375" customWidth="1"/>
    <col min="25" max="25" width="14.5703125" customWidth="1"/>
  </cols>
  <sheetData>
    <row r="3" spans="1:25" ht="16.5" x14ac:dyDescent="0.35">
      <c r="F3" s="55" t="s">
        <v>191</v>
      </c>
      <c r="G3" s="55"/>
      <c r="H3" s="55"/>
      <c r="I3" s="55"/>
    </row>
    <row r="7" spans="1:25" ht="21" x14ac:dyDescent="0.35">
      <c r="A7" s="71" t="s">
        <v>194</v>
      </c>
      <c r="B7" s="71"/>
      <c r="C7" s="71"/>
      <c r="D7" s="71"/>
      <c r="I7" s="59" t="s">
        <v>136</v>
      </c>
      <c r="J7" s="59"/>
      <c r="N7" s="60" t="s">
        <v>137</v>
      </c>
      <c r="O7" s="60"/>
    </row>
    <row r="9" spans="1:25" x14ac:dyDescent="0.25">
      <c r="A9" s="58" t="s">
        <v>72</v>
      </c>
      <c r="B9" s="58"/>
      <c r="C9" s="58"/>
      <c r="D9" s="58"/>
      <c r="E9" s="16">
        <v>0</v>
      </c>
      <c r="F9" s="16">
        <v>1</v>
      </c>
      <c r="G9" s="16">
        <f>IF(F9&lt;UnosPodataka!$M$28,'FinInd+CO2'!F9+1,"")</f>
        <v>2</v>
      </c>
      <c r="H9" s="16">
        <f>IF(G9&lt;UnosPodataka!$M$28,'FinInd+CO2'!G9+1,"")</f>
        <v>3</v>
      </c>
      <c r="I9" s="16">
        <f>IF(H9&lt;UnosPodataka!$M$28,'FinInd+CO2'!H9+1,"")</f>
        <v>4</v>
      </c>
      <c r="J9" s="16">
        <f>IF(I9&lt;UnosPodataka!$M$28,'FinInd+CO2'!I9+1,"")</f>
        <v>5</v>
      </c>
      <c r="K9" s="16">
        <f>IF(J9&lt;UnosPodataka!$M$28,'FinInd+CO2'!J9+1,"")</f>
        <v>6</v>
      </c>
      <c r="L9" s="16">
        <f>IF(K9&lt;UnosPodataka!$M$28,'FinInd+CO2'!K9+1,"")</f>
        <v>7</v>
      </c>
      <c r="M9" s="16">
        <f>IF(L9&lt;UnosPodataka!$M$28,'FinInd+CO2'!L9+1,"")</f>
        <v>8</v>
      </c>
      <c r="N9" s="16">
        <f>IF(M9&lt;UnosPodataka!$M$28,'FinInd+CO2'!M9+1,"")</f>
        <v>9</v>
      </c>
      <c r="O9" s="16">
        <f>IF(N9&lt;UnosPodataka!$M$28,'FinInd+CO2'!N9+1,"")</f>
        <v>10</v>
      </c>
      <c r="P9" s="16">
        <f>IF(O9&lt;UnosPodataka!$M$28,'FinInd+CO2'!O9+1,"")</f>
        <v>11</v>
      </c>
      <c r="Q9" s="16">
        <f>IF(P9&lt;UnosPodataka!$M$28,'FinInd+CO2'!P9+1,"")</f>
        <v>12</v>
      </c>
      <c r="R9" s="16">
        <f>IF(Q9&lt;UnosPodataka!$M$28,'FinInd+CO2'!Q9+1,"")</f>
        <v>13</v>
      </c>
      <c r="S9" s="16">
        <f>IF(R9&lt;UnosPodataka!$M$28,'FinInd+CO2'!R9+1,"")</f>
        <v>14</v>
      </c>
      <c r="T9" s="16">
        <f>IF(S9&lt;UnosPodataka!$M$28,'FinInd+CO2'!S9+1,"")</f>
        <v>15</v>
      </c>
      <c r="U9" s="16">
        <f>IF(T9&lt;UnosPodataka!$M$28,'FinInd+CO2'!T9+1,"")</f>
        <v>16</v>
      </c>
      <c r="V9" s="16">
        <f>IF(U9&lt;UnosPodataka!$M$28,'FinInd+CO2'!U9+1,"")</f>
        <v>17</v>
      </c>
      <c r="W9" s="16">
        <f>IF(V9&lt;UnosPodataka!$M$28,'FinInd+CO2'!V9+1,"")</f>
        <v>18</v>
      </c>
      <c r="X9" s="16">
        <f>IF(W9&lt;UnosPodataka!$M$28,'FinInd+CO2'!W9+1,"")</f>
        <v>19</v>
      </c>
      <c r="Y9" s="16">
        <f>IF(X9&lt;UnosPodataka!$M$28,'FinInd+CO2'!X9+1,"")</f>
        <v>20</v>
      </c>
    </row>
    <row r="11" spans="1:25" x14ac:dyDescent="0.25">
      <c r="A11" s="65" t="s">
        <v>102</v>
      </c>
      <c r="B11" s="65"/>
      <c r="C11" s="65"/>
      <c r="D11" s="65"/>
      <c r="E11" s="3">
        <f>Loan</f>
        <v>77700</v>
      </c>
    </row>
    <row r="12" spans="1:25" x14ac:dyDescent="0.25">
      <c r="A12" s="65" t="s">
        <v>103</v>
      </c>
      <c r="B12" s="65"/>
      <c r="C12" s="65"/>
      <c r="D12" s="65"/>
      <c r="E12" s="3">
        <f>IF(Equity=0,Loan,Equity)</f>
        <v>6300</v>
      </c>
    </row>
    <row r="13" spans="1:25" x14ac:dyDescent="0.25">
      <c r="A13" s="65" t="s">
        <v>156</v>
      </c>
      <c r="B13" s="65"/>
      <c r="C13" s="65"/>
      <c r="D13" s="65"/>
      <c r="E13" s="3">
        <f>+PomTab1!K22</f>
        <v>10000</v>
      </c>
    </row>
    <row r="14" spans="1:25" x14ac:dyDescent="0.25">
      <c r="A14" s="65" t="s">
        <v>104</v>
      </c>
      <c r="B14" s="65"/>
      <c r="C14" s="65"/>
      <c r="D14" s="65"/>
      <c r="F14" s="3">
        <f t="shared" ref="F14:Y14" si="0">IF(F9&lt;&gt;"",HEAT,"")</f>
        <v>500</v>
      </c>
      <c r="G14" s="3">
        <f t="shared" si="0"/>
        <v>500</v>
      </c>
      <c r="H14" s="3">
        <f t="shared" si="0"/>
        <v>500</v>
      </c>
      <c r="I14" s="3">
        <f t="shared" si="0"/>
        <v>500</v>
      </c>
      <c r="J14" s="3">
        <f t="shared" si="0"/>
        <v>500</v>
      </c>
      <c r="K14" s="3">
        <f t="shared" si="0"/>
        <v>500</v>
      </c>
      <c r="L14" s="3">
        <f t="shared" si="0"/>
        <v>500</v>
      </c>
      <c r="M14" s="3">
        <f t="shared" si="0"/>
        <v>500</v>
      </c>
      <c r="N14" s="3">
        <f t="shared" si="0"/>
        <v>500</v>
      </c>
      <c r="O14" s="3">
        <f t="shared" si="0"/>
        <v>500</v>
      </c>
      <c r="P14" s="3">
        <f t="shared" si="0"/>
        <v>500</v>
      </c>
      <c r="Q14" s="3">
        <f t="shared" si="0"/>
        <v>500</v>
      </c>
      <c r="R14" s="3">
        <f t="shared" si="0"/>
        <v>500</v>
      </c>
      <c r="S14" s="3">
        <f t="shared" si="0"/>
        <v>500</v>
      </c>
      <c r="T14" s="3">
        <f t="shared" si="0"/>
        <v>500</v>
      </c>
      <c r="U14" s="3">
        <f t="shared" si="0"/>
        <v>500</v>
      </c>
      <c r="V14" s="3">
        <f t="shared" si="0"/>
        <v>500</v>
      </c>
      <c r="W14" s="3">
        <f t="shared" si="0"/>
        <v>500</v>
      </c>
      <c r="X14" s="3">
        <f t="shared" si="0"/>
        <v>500</v>
      </c>
      <c r="Y14" s="3">
        <f t="shared" si="0"/>
        <v>500</v>
      </c>
    </row>
    <row r="15" spans="1:25" x14ac:dyDescent="0.25">
      <c r="A15" s="65" t="s">
        <v>117</v>
      </c>
      <c r="B15" s="65"/>
      <c r="C15" s="65"/>
      <c r="D15" s="65"/>
      <c r="F15" s="3">
        <f t="shared" ref="F15:Y15" si="1">IF(F9&lt;&gt;"",ECONS,"")</f>
        <v>125</v>
      </c>
      <c r="G15" s="3">
        <f t="shared" si="1"/>
        <v>125</v>
      </c>
      <c r="H15" s="3">
        <f t="shared" si="1"/>
        <v>125</v>
      </c>
      <c r="I15" s="3">
        <f t="shared" si="1"/>
        <v>125</v>
      </c>
      <c r="J15" s="3">
        <f t="shared" si="1"/>
        <v>125</v>
      </c>
      <c r="K15" s="3">
        <f t="shared" si="1"/>
        <v>125</v>
      </c>
      <c r="L15" s="3">
        <f t="shared" si="1"/>
        <v>125</v>
      </c>
      <c r="M15" s="3">
        <f t="shared" si="1"/>
        <v>125</v>
      </c>
      <c r="N15" s="3">
        <f t="shared" si="1"/>
        <v>125</v>
      </c>
      <c r="O15" s="3">
        <f t="shared" si="1"/>
        <v>125</v>
      </c>
      <c r="P15" s="3">
        <f t="shared" si="1"/>
        <v>125</v>
      </c>
      <c r="Q15" s="3">
        <f t="shared" si="1"/>
        <v>125</v>
      </c>
      <c r="R15" s="3">
        <f t="shared" si="1"/>
        <v>125</v>
      </c>
      <c r="S15" s="3">
        <f t="shared" si="1"/>
        <v>125</v>
      </c>
      <c r="T15" s="3">
        <f t="shared" si="1"/>
        <v>125</v>
      </c>
      <c r="U15" s="3">
        <f t="shared" si="1"/>
        <v>125</v>
      </c>
      <c r="V15" s="3">
        <f t="shared" si="1"/>
        <v>125</v>
      </c>
      <c r="W15" s="3">
        <f t="shared" si="1"/>
        <v>125</v>
      </c>
      <c r="X15" s="3">
        <f t="shared" si="1"/>
        <v>125</v>
      </c>
      <c r="Y15" s="3">
        <f t="shared" si="1"/>
        <v>125</v>
      </c>
    </row>
    <row r="16" spans="1:25" ht="18" x14ac:dyDescent="0.35">
      <c r="A16" s="65" t="s">
        <v>118</v>
      </c>
      <c r="B16" s="65"/>
      <c r="C16" s="65"/>
      <c r="D16" s="65"/>
      <c r="F16" s="3">
        <f>+F14*KonvFaktor!$E$21-F15*CARBON</f>
        <v>-50.428571428571431</v>
      </c>
      <c r="G16" s="3">
        <f>+G14*KonvFaktor!$E$21-G15*CARBON</f>
        <v>-50.428571428571431</v>
      </c>
      <c r="H16" s="3">
        <f>+H14*KonvFaktor!$E$21-H15*CARBON</f>
        <v>-50.428571428571431</v>
      </c>
      <c r="I16" s="3">
        <f>+I14*KonvFaktor!$E$21-I15*CARBON</f>
        <v>-50.428571428571431</v>
      </c>
      <c r="J16" s="3">
        <f>+J14*KonvFaktor!$E$21-J15*CARBON</f>
        <v>-50.428571428571431</v>
      </c>
      <c r="K16" s="3">
        <f>+K14*KonvFaktor!$E$21-K15*CARBON</f>
        <v>-50.428571428571431</v>
      </c>
      <c r="L16" s="3">
        <f>+L14*KonvFaktor!$E$21-L15*CARBON</f>
        <v>-50.428571428571431</v>
      </c>
      <c r="M16" s="3">
        <f>+M14*KonvFaktor!$E$21-M15*CARBON</f>
        <v>-50.428571428571431</v>
      </c>
      <c r="N16" s="3">
        <f>+N14*KonvFaktor!$E$21-N15*CARBON</f>
        <v>-50.428571428571431</v>
      </c>
      <c r="O16" s="3">
        <f>+O14*KonvFaktor!$E$21-O15*CARBON</f>
        <v>-50.428571428571431</v>
      </c>
      <c r="P16" s="3">
        <f>+P14*KonvFaktor!$E$21-P15*CARBON</f>
        <v>-50.428571428571431</v>
      </c>
      <c r="Q16" s="3">
        <f>+Q14*KonvFaktor!$E$21-Q15*CARBON</f>
        <v>-50.428571428571431</v>
      </c>
      <c r="R16" s="3">
        <f>+R14*KonvFaktor!$E$21-R15*CARBON</f>
        <v>-50.428571428571431</v>
      </c>
      <c r="S16" s="3">
        <f>+S14*KonvFaktor!$E$21-S15*CARBON</f>
        <v>-50.428571428571431</v>
      </c>
      <c r="T16" s="3">
        <f>+T14*KonvFaktor!$E$21-T15*CARBON</f>
        <v>-50.428571428571431</v>
      </c>
      <c r="U16" s="3">
        <f>+U14*KonvFaktor!$E$21-U15*CARBON</f>
        <v>-50.428571428571431</v>
      </c>
      <c r="V16" s="3">
        <f>+V14*KonvFaktor!$E$21-V15*CARBON</f>
        <v>-50.428571428571431</v>
      </c>
      <c r="W16" s="3">
        <f>+W14*KonvFaktor!$E$21-W15*CARBON</f>
        <v>-50.428571428571431</v>
      </c>
      <c r="X16" s="3">
        <f>+X14*KonvFaktor!$E$21-X15*CARBON</f>
        <v>-50.428571428571431</v>
      </c>
      <c r="Y16" s="3">
        <f>+Y14*KonvFaktor!$E$21-Y15*CARBON</f>
        <v>-50.428571428571431</v>
      </c>
    </row>
    <row r="17" spans="1:25" x14ac:dyDescent="0.25">
      <c r="A17" s="68"/>
      <c r="B17" s="68"/>
      <c r="C17" s="68"/>
      <c r="D17" s="68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58" t="s">
        <v>161</v>
      </c>
      <c r="B18" s="58"/>
      <c r="C18" s="58"/>
      <c r="D18" s="58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x14ac:dyDescent="0.25">
      <c r="A19" s="65" t="s">
        <v>105</v>
      </c>
      <c r="B19" s="65"/>
      <c r="C19" s="65"/>
      <c r="D19" s="65"/>
      <c r="F19" s="3">
        <f t="shared" ref="F19:Y19" si="2">IF(F9&lt;&gt;"",F14*etagrid*HPrice/Kurs_EUR,"")</f>
        <v>34146.715776550031</v>
      </c>
      <c r="G19" s="3">
        <f t="shared" si="2"/>
        <v>34146.715776550031</v>
      </c>
      <c r="H19" s="3">
        <f t="shared" si="2"/>
        <v>34146.715776550031</v>
      </c>
      <c r="I19" s="3">
        <f t="shared" si="2"/>
        <v>34146.715776550031</v>
      </c>
      <c r="J19" s="3">
        <f t="shared" si="2"/>
        <v>34146.715776550031</v>
      </c>
      <c r="K19" s="3">
        <f t="shared" si="2"/>
        <v>34146.715776550031</v>
      </c>
      <c r="L19" s="3">
        <f t="shared" si="2"/>
        <v>34146.715776550031</v>
      </c>
      <c r="M19" s="3">
        <f t="shared" si="2"/>
        <v>34146.715776550031</v>
      </c>
      <c r="N19" s="3">
        <f t="shared" si="2"/>
        <v>34146.715776550031</v>
      </c>
      <c r="O19" s="3">
        <f t="shared" si="2"/>
        <v>34146.715776550031</v>
      </c>
      <c r="P19" s="3">
        <f t="shared" si="2"/>
        <v>34146.715776550031</v>
      </c>
      <c r="Q19" s="3">
        <f t="shared" si="2"/>
        <v>34146.715776550031</v>
      </c>
      <c r="R19" s="3">
        <f t="shared" si="2"/>
        <v>34146.715776550031</v>
      </c>
      <c r="S19" s="3">
        <f t="shared" si="2"/>
        <v>34146.715776550031</v>
      </c>
      <c r="T19" s="3">
        <f t="shared" si="2"/>
        <v>34146.715776550031</v>
      </c>
      <c r="U19" s="3">
        <f t="shared" si="2"/>
        <v>34146.715776550031</v>
      </c>
      <c r="V19" s="3">
        <f t="shared" si="2"/>
        <v>34146.715776550031</v>
      </c>
      <c r="W19" s="3">
        <f t="shared" si="2"/>
        <v>34146.715776550031</v>
      </c>
      <c r="X19" s="3">
        <f t="shared" si="2"/>
        <v>34146.715776550031</v>
      </c>
      <c r="Y19" s="3">
        <f t="shared" si="2"/>
        <v>34146.715776550031</v>
      </c>
    </row>
    <row r="20" spans="1:25" ht="18" x14ac:dyDescent="0.35">
      <c r="A20" s="65" t="s">
        <v>119</v>
      </c>
      <c r="B20" s="65"/>
      <c r="C20" s="65"/>
      <c r="D20" s="65"/>
      <c r="F20" s="3">
        <f t="shared" ref="F20:Y20" si="3">IF(F9&lt;&gt;"",F16*CO2Tax,"")</f>
        <v>-4913.76</v>
      </c>
      <c r="G20" s="3">
        <f t="shared" si="3"/>
        <v>-4913.76</v>
      </c>
      <c r="H20" s="3">
        <f t="shared" si="3"/>
        <v>-4913.76</v>
      </c>
      <c r="I20" s="3">
        <f t="shared" si="3"/>
        <v>-4913.76</v>
      </c>
      <c r="J20" s="3">
        <f t="shared" si="3"/>
        <v>-4913.76</v>
      </c>
      <c r="K20" s="3">
        <f t="shared" si="3"/>
        <v>-4913.76</v>
      </c>
      <c r="L20" s="3">
        <f t="shared" si="3"/>
        <v>-4913.76</v>
      </c>
      <c r="M20" s="3">
        <f t="shared" si="3"/>
        <v>-4913.76</v>
      </c>
      <c r="N20" s="3">
        <f t="shared" si="3"/>
        <v>-4913.76</v>
      </c>
      <c r="O20" s="3">
        <f t="shared" si="3"/>
        <v>-4913.76</v>
      </c>
      <c r="P20" s="3">
        <f t="shared" si="3"/>
        <v>-4913.76</v>
      </c>
      <c r="Q20" s="3">
        <f t="shared" si="3"/>
        <v>-4913.76</v>
      </c>
      <c r="R20" s="3">
        <f t="shared" si="3"/>
        <v>-4913.76</v>
      </c>
      <c r="S20" s="3">
        <f t="shared" si="3"/>
        <v>-4913.76</v>
      </c>
      <c r="T20" s="3">
        <f t="shared" si="3"/>
        <v>-4913.76</v>
      </c>
      <c r="U20" s="3">
        <f t="shared" si="3"/>
        <v>-4913.76</v>
      </c>
      <c r="V20" s="3">
        <f t="shared" si="3"/>
        <v>-4913.76</v>
      </c>
      <c r="W20" s="3">
        <f t="shared" si="3"/>
        <v>-4913.76</v>
      </c>
      <c r="X20" s="3">
        <f t="shared" si="3"/>
        <v>-4913.76</v>
      </c>
      <c r="Y20" s="3">
        <f t="shared" si="3"/>
        <v>-4913.76</v>
      </c>
    </row>
    <row r="21" spans="1:25" x14ac:dyDescent="0.25">
      <c r="A21" s="69" t="s">
        <v>106</v>
      </c>
      <c r="B21" s="69"/>
      <c r="C21" s="69"/>
      <c r="D21" s="69"/>
      <c r="E21" s="33"/>
      <c r="F21" s="32">
        <f t="shared" ref="F21:Y21" si="4">IF(F9&lt;&gt;"",F19+F20,"")</f>
        <v>29232.955776550029</v>
      </c>
      <c r="G21" s="32">
        <f t="shared" si="4"/>
        <v>29232.955776550029</v>
      </c>
      <c r="H21" s="32">
        <f t="shared" si="4"/>
        <v>29232.955776550029</v>
      </c>
      <c r="I21" s="32">
        <f t="shared" si="4"/>
        <v>29232.955776550029</v>
      </c>
      <c r="J21" s="32">
        <f t="shared" si="4"/>
        <v>29232.955776550029</v>
      </c>
      <c r="K21" s="32">
        <f t="shared" si="4"/>
        <v>29232.955776550029</v>
      </c>
      <c r="L21" s="32">
        <f t="shared" si="4"/>
        <v>29232.955776550029</v>
      </c>
      <c r="M21" s="32">
        <f t="shared" si="4"/>
        <v>29232.955776550029</v>
      </c>
      <c r="N21" s="32">
        <f t="shared" si="4"/>
        <v>29232.955776550029</v>
      </c>
      <c r="O21" s="32">
        <f t="shared" si="4"/>
        <v>29232.955776550029</v>
      </c>
      <c r="P21" s="32">
        <f t="shared" si="4"/>
        <v>29232.955776550029</v>
      </c>
      <c r="Q21" s="32">
        <f t="shared" si="4"/>
        <v>29232.955776550029</v>
      </c>
      <c r="R21" s="32">
        <f t="shared" si="4"/>
        <v>29232.955776550029</v>
      </c>
      <c r="S21" s="32">
        <f t="shared" si="4"/>
        <v>29232.955776550029</v>
      </c>
      <c r="T21" s="32">
        <f t="shared" si="4"/>
        <v>29232.955776550029</v>
      </c>
      <c r="U21" s="32">
        <f t="shared" si="4"/>
        <v>29232.955776550029</v>
      </c>
      <c r="V21" s="32">
        <f t="shared" si="4"/>
        <v>29232.955776550029</v>
      </c>
      <c r="W21" s="32">
        <f t="shared" si="4"/>
        <v>29232.955776550029</v>
      </c>
      <c r="X21" s="32">
        <f t="shared" si="4"/>
        <v>29232.955776550029</v>
      </c>
      <c r="Y21" s="32">
        <f t="shared" si="4"/>
        <v>29232.955776550029</v>
      </c>
    </row>
    <row r="22" spans="1:25" x14ac:dyDescent="0.25">
      <c r="A22" s="68"/>
      <c r="B22" s="68"/>
      <c r="C22" s="68"/>
      <c r="D22" s="68"/>
    </row>
    <row r="23" spans="1:25" x14ac:dyDescent="0.25">
      <c r="A23" s="58" t="s">
        <v>162</v>
      </c>
      <c r="B23" s="58"/>
      <c r="C23" s="58"/>
      <c r="D23" s="58"/>
    </row>
    <row r="24" spans="1:25" x14ac:dyDescent="0.25">
      <c r="A24" s="65" t="s">
        <v>157</v>
      </c>
      <c r="B24" s="65"/>
      <c r="C24" s="65"/>
      <c r="D24" s="65"/>
      <c r="F24" s="3">
        <f>IF(F9&gt;UnosPodataka!$M$25,"",-VLOOKUP(F9,Annuity!$B$13:$E$32,3,FALSE))</f>
        <v>-9324</v>
      </c>
      <c r="G24" s="3">
        <f>IF(G9&gt;UnosPodataka!$M$25,"",-VLOOKUP(G9,Annuity!$B$13:$E$32,3,FALSE))</f>
        <v>-8937.6432059935833</v>
      </c>
      <c r="H24" s="3">
        <f>IF(H9&gt;UnosPodataka!$M$25,"",-VLOOKUP(H9,Annuity!$B$13:$E$32,3,FALSE))</f>
        <v>-8504.9235967063942</v>
      </c>
      <c r="I24" s="3">
        <f>IF(I9&gt;UnosPodataka!$M$25,"",-VLOOKUP(I9,Annuity!$B$13:$E$32,3,FALSE))</f>
        <v>-8020.2776343047444</v>
      </c>
      <c r="J24" s="3">
        <f>IF(J9&gt;UnosPodataka!$M$25,"",-VLOOKUP(J9,Annuity!$B$13:$E$32,3,FALSE))</f>
        <v>-7477.4741564148962</v>
      </c>
      <c r="K24" s="3">
        <f>IF(K9&gt;UnosPodataka!$M$25,"",-VLOOKUP(K9,Annuity!$B$13:$E$32,3,FALSE))</f>
        <v>-6869.5342611782671</v>
      </c>
      <c r="L24" s="3">
        <f>IF(L9&gt;UnosPodataka!$M$25,"",-VLOOKUP(L9,Annuity!$B$13:$E$32,3,FALSE))</f>
        <v>-6188.6415785132431</v>
      </c>
      <c r="M24" s="3">
        <f>IF(M9&gt;UnosPodataka!$M$25,"",-VLOOKUP(M9,Annuity!$B$13:$E$32,3,FALSE))</f>
        <v>-5426.0417739284148</v>
      </c>
      <c r="N24" s="3">
        <f>IF(N9&gt;UnosPodataka!$M$25,"",-VLOOKUP(N9,Annuity!$B$13:$E$32,3,FALSE))</f>
        <v>-4571.929992793408</v>
      </c>
      <c r="O24" s="3">
        <f>IF(O9&gt;UnosPodataka!$M$25,"",-VLOOKUP(O9,Annuity!$B$13:$E$32,3,FALSE))</f>
        <v>-3615.3247979221997</v>
      </c>
      <c r="P24" s="3">
        <f>IF(P9&gt;UnosPodataka!$M$25,"",-VLOOKUP(P9,Annuity!$B$13:$E$32,3,FALSE))</f>
        <v>-2543.9269796664476</v>
      </c>
      <c r="Q24" s="3">
        <f>IF(Q9&gt;UnosPodataka!$M$25,"",-VLOOKUP(Q9,Annuity!$B$13:$E$32,3,FALSE))</f>
        <v>-1343.9614232200047</v>
      </c>
      <c r="R24" s="3" t="str">
        <f>IF(R9&gt;UnosPodataka!$M$25,"",-VLOOKUP(R9,Annuity!$B$13:$E$32,3,FALSE))</f>
        <v/>
      </c>
      <c r="S24" s="3" t="str">
        <f>IF(S9&gt;UnosPodataka!$M$25,"",-VLOOKUP(S9,Annuity!$B$13:$E$32,3,FALSE))</f>
        <v/>
      </c>
      <c r="T24" s="3" t="str">
        <f>IF(T9&gt;UnosPodataka!$M$25,"",-VLOOKUP(T9,Annuity!$B$13:$E$32,3,FALSE))</f>
        <v/>
      </c>
      <c r="U24" s="3" t="str">
        <f>IF(U9&gt;UnosPodataka!$M$25,"",-VLOOKUP(U9,Annuity!$B$13:$E$32,3,FALSE))</f>
        <v/>
      </c>
      <c r="V24" s="3" t="str">
        <f>IF(V9&gt;UnosPodataka!$M$25,"",-VLOOKUP(V9,Annuity!$B$13:$E$32,3,FALSE))</f>
        <v/>
      </c>
      <c r="W24" s="3" t="str">
        <f>IF(W9&gt;UnosPodataka!$M$25,"",-VLOOKUP(W9,Annuity!$B$13:$E$32,3,FALSE))</f>
        <v/>
      </c>
      <c r="X24" s="3" t="str">
        <f>IF(X9&gt;UnosPodataka!$M$25,"",-VLOOKUP(X9,Annuity!$B$13:$E$32,3,FALSE))</f>
        <v/>
      </c>
      <c r="Y24" s="3" t="str">
        <f>IF(Y9&gt;UnosPodataka!$M$25,"",-VLOOKUP(Y9,Annuity!$B$13:$E$32,3,FALSE))</f>
        <v/>
      </c>
    </row>
    <row r="25" spans="1:25" x14ac:dyDescent="0.25">
      <c r="A25" s="21" t="s">
        <v>158</v>
      </c>
      <c r="B25" s="21"/>
      <c r="C25" s="21"/>
      <c r="D25" s="21"/>
      <c r="F25" s="3">
        <f>IF(F24="",0,IF(F9&gt;UnosPodataka!$M$25,"",VLOOKUP(F9,Annuity!$B$13:$E$32,4,FALSE)+VLOOKUP(F9,Annuity!$B$13:$E$32,3,FALSE)))</f>
        <v>-3219.6399500534717</v>
      </c>
      <c r="G25" s="3">
        <f>IF(G24="",0,IF(G9&gt;UnosPodataka!$M$25,"",VLOOKUP(G9,Annuity!$B$13:$E$32,4,FALSE)+VLOOKUP(G9,Annuity!$B$13:$E$32,3,FALSE)))</f>
        <v>-3605.9967440598884</v>
      </c>
      <c r="H25" s="3">
        <f>IF(H24="",0,IF(H9&gt;UnosPodataka!$M$25,"",VLOOKUP(H9,Annuity!$B$13:$E$32,4,FALSE)+VLOOKUP(H9,Annuity!$B$13:$E$32,3,FALSE)))</f>
        <v>-4038.7163533470775</v>
      </c>
      <c r="I25" s="3">
        <f>IF(I24="",0,IF(I9&gt;UnosPodataka!$M$25,"",VLOOKUP(I9,Annuity!$B$13:$E$32,4,FALSE)+VLOOKUP(I9,Annuity!$B$13:$E$32,3,FALSE)))</f>
        <v>-4523.3623157487273</v>
      </c>
      <c r="J25" s="3">
        <f>IF(J24="",0,IF(J9&gt;UnosPodataka!$M$25,"",VLOOKUP(J9,Annuity!$B$13:$E$32,4,FALSE)+VLOOKUP(J9,Annuity!$B$13:$E$32,3,FALSE)))</f>
        <v>-5066.1657936385755</v>
      </c>
      <c r="K25" s="3">
        <f>IF(K24="",0,IF(K9&gt;UnosPodataka!$M$25,"",VLOOKUP(K9,Annuity!$B$13:$E$32,4,FALSE)+VLOOKUP(K9,Annuity!$B$13:$E$32,3,FALSE)))</f>
        <v>-5674.1056888752046</v>
      </c>
      <c r="L25" s="3">
        <f>IF(L24="",0,IF(L9&gt;UnosPodataka!$M$25,"",VLOOKUP(L9,Annuity!$B$13:$E$32,4,FALSE)+VLOOKUP(L9,Annuity!$B$13:$E$32,3,FALSE)))</f>
        <v>-6354.9983715402286</v>
      </c>
      <c r="M25" s="3">
        <f>IF(M24="",0,IF(M9&gt;UnosPodataka!$M$25,"",VLOOKUP(M9,Annuity!$B$13:$E$32,4,FALSE)+VLOOKUP(M9,Annuity!$B$13:$E$32,3,FALSE)))</f>
        <v>-7117.5981761250569</v>
      </c>
      <c r="N25" s="3">
        <f>IF(N24="",0,IF(N9&gt;UnosPodataka!$M$25,"",VLOOKUP(N9,Annuity!$B$13:$E$32,4,FALSE)+VLOOKUP(N9,Annuity!$B$13:$E$32,3,FALSE)))</f>
        <v>-7971.7099572600637</v>
      </c>
      <c r="O25" s="3">
        <f>IF(O24="",0,IF(O9&gt;UnosPodataka!$M$25,"",VLOOKUP(O9,Annuity!$B$13:$E$32,4,FALSE)+VLOOKUP(O9,Annuity!$B$13:$E$32,3,FALSE)))</f>
        <v>-8928.315152131272</v>
      </c>
      <c r="P25" s="3">
        <f>IF(P24="",0,IF(P9&gt;UnosPodataka!$M$25,"",VLOOKUP(P9,Annuity!$B$13:$E$32,4,FALSE)+VLOOKUP(P9,Annuity!$B$13:$E$32,3,FALSE)))</f>
        <v>-9999.7129703870232</v>
      </c>
      <c r="Q25" s="3">
        <f>IF(Q24="",0,IF(Q9&gt;UnosPodataka!$M$25,"",VLOOKUP(Q9,Annuity!$B$13:$E$32,4,FALSE)+VLOOKUP(Q9,Annuity!$B$13:$E$32,3,FALSE)))</f>
        <v>-11199.678526833468</v>
      </c>
      <c r="R25" s="3">
        <f>IF(R24="",0,IF(R9&gt;UnosPodataka!$M$25,"",VLOOKUP(R9,Annuity!$B$13:$E$32,4,FALSE)+VLOOKUP(R9,Annuity!$B$13:$E$32,3,FALSE)))</f>
        <v>0</v>
      </c>
      <c r="S25" s="3">
        <f>IF(S24="",0,IF(S9&gt;UnosPodataka!$M$25,"",VLOOKUP(S9,Annuity!$B$13:$E$32,4,FALSE)+VLOOKUP(S9,Annuity!$B$13:$E$32,3,FALSE)))</f>
        <v>0</v>
      </c>
      <c r="T25" s="3">
        <f>IF(T24="",0,IF(T9&gt;UnosPodataka!$M$25,"",VLOOKUP(T9,Annuity!$B$13:$E$32,4,FALSE)+VLOOKUP(T9,Annuity!$B$13:$E$32,3,FALSE)))</f>
        <v>0</v>
      </c>
      <c r="U25" s="3">
        <f>IF(U24="",0,IF(U9&gt;UnosPodataka!$M$25,"",VLOOKUP(U9,Annuity!$B$13:$E$32,4,FALSE)+VLOOKUP(U9,Annuity!$B$13:$E$32,3,FALSE)))</f>
        <v>0</v>
      </c>
      <c r="V25" s="3">
        <f>IF(V24="",0,IF(V9&gt;UnosPodataka!$M$25,"",VLOOKUP(V9,Annuity!$B$13:$E$32,4,FALSE)+VLOOKUP(V9,Annuity!$B$13:$E$32,3,FALSE)))</f>
        <v>0</v>
      </c>
      <c r="W25" s="3">
        <f>IF(W24="",0,IF(W9&gt;UnosPodataka!$M$25,"",VLOOKUP(W9,Annuity!$B$13:$E$32,4,FALSE)+VLOOKUP(W9,Annuity!$B$13:$E$32,3,FALSE)))</f>
        <v>0</v>
      </c>
      <c r="X25" s="3">
        <f>IF(X24="",0,IF(X9&gt;UnosPodataka!$M$25,"",VLOOKUP(X9,Annuity!$B$13:$E$32,4,FALSE)+VLOOKUP(X9,Annuity!$B$13:$E$32,3,FALSE)))</f>
        <v>0</v>
      </c>
      <c r="Y25" s="3">
        <f>IF(Y24="",0,IF(Y9&gt;UnosPodataka!$M$25,"",VLOOKUP(Y9,Annuity!$B$13:$E$32,4,FALSE)+VLOOKUP(Y9,Annuity!$B$13:$E$32,3,FALSE)))</f>
        <v>0</v>
      </c>
    </row>
    <row r="26" spans="1:25" x14ac:dyDescent="0.25">
      <c r="A26" s="65" t="s">
        <v>107</v>
      </c>
      <c r="B26" s="65"/>
      <c r="C26" s="65"/>
      <c r="D26" s="65"/>
      <c r="F26" s="3">
        <f>IF(F9&lt;&gt;"",-UnosPodataka!$M$9,"")</f>
        <v>-100</v>
      </c>
      <c r="G26" s="3">
        <f>IF(G9&lt;&gt;"",-UnosPodataka!$M$9,"")</f>
        <v>-100</v>
      </c>
      <c r="H26" s="3">
        <f>IF(H9&lt;&gt;"",-UnosPodataka!$M$9,"")</f>
        <v>-100</v>
      </c>
      <c r="I26" s="3">
        <f>IF(I9&lt;&gt;"",-UnosPodataka!$M$9,"")</f>
        <v>-100</v>
      </c>
      <c r="J26" s="3">
        <f>IF(J9&lt;&gt;"",-UnosPodataka!$M$9,"")</f>
        <v>-100</v>
      </c>
      <c r="K26" s="3">
        <f>IF(K9&lt;&gt;"",-UnosPodataka!$M$9,"")</f>
        <v>-100</v>
      </c>
      <c r="L26" s="3">
        <f>IF(L9&lt;&gt;"",-UnosPodataka!$M$9,"")</f>
        <v>-100</v>
      </c>
      <c r="M26" s="3">
        <f>IF(M9&lt;&gt;"",-UnosPodataka!$M$9,"")</f>
        <v>-100</v>
      </c>
      <c r="N26" s="3">
        <f>IF(N9&lt;&gt;"",-UnosPodataka!$M$9,"")</f>
        <v>-100</v>
      </c>
      <c r="O26" s="3">
        <f>IF(O9&lt;&gt;"",-UnosPodataka!$M$9,"")</f>
        <v>-100</v>
      </c>
      <c r="P26" s="3">
        <f>IF(P9&lt;&gt;"",-UnosPodataka!$M$9,"")</f>
        <v>-100</v>
      </c>
      <c r="Q26" s="3">
        <f>IF(Q9&lt;&gt;"",-UnosPodataka!$M$9,"")</f>
        <v>-100</v>
      </c>
      <c r="R26" s="3">
        <f>IF(R9&lt;&gt;"",-UnosPodataka!$M$9,"")</f>
        <v>-100</v>
      </c>
      <c r="S26" s="3">
        <f>IF(S9&lt;&gt;"",-UnosPodataka!$M$9,"")</f>
        <v>-100</v>
      </c>
      <c r="T26" s="3">
        <f>IF(T9&lt;&gt;"",-UnosPodataka!$M$9,"")</f>
        <v>-100</v>
      </c>
      <c r="U26" s="3">
        <f>IF(U9&lt;&gt;"",-UnosPodataka!$M$9,"")</f>
        <v>-100</v>
      </c>
      <c r="V26" s="3">
        <f>IF(V9&lt;&gt;"",-UnosPodataka!$M$9,"")</f>
        <v>-100</v>
      </c>
      <c r="W26" s="3">
        <f>IF(W9&lt;&gt;"",-UnosPodataka!$M$9,"")</f>
        <v>-100</v>
      </c>
      <c r="X26" s="3">
        <f>IF(X9&lt;&gt;"",-UnosPodataka!$M$9,"")</f>
        <v>-100</v>
      </c>
      <c r="Y26" s="3">
        <f>IF(Y9&lt;&gt;"",-UnosPodataka!$M$9,"")</f>
        <v>-100</v>
      </c>
    </row>
    <row r="27" spans="1:25" x14ac:dyDescent="0.25">
      <c r="A27" s="65" t="s">
        <v>108</v>
      </c>
      <c r="B27" s="65"/>
      <c r="C27" s="65"/>
      <c r="D27" s="65"/>
      <c r="F27" s="3">
        <f>IF(F9&lt;&gt;"",-Investment*UnosPodataka!$M$11,"")</f>
        <v>-1410</v>
      </c>
      <c r="G27" s="3">
        <f>IF(G9&lt;&gt;"",-Investment*UnosPodataka!$M$11,"")</f>
        <v>-1410</v>
      </c>
      <c r="H27" s="3">
        <f>IF(H9&lt;&gt;"",-Investment*UnosPodataka!$M$11,"")</f>
        <v>-1410</v>
      </c>
      <c r="I27" s="3">
        <f>IF(I9&lt;&gt;"",-Investment*UnosPodataka!$M$11,"")</f>
        <v>-1410</v>
      </c>
      <c r="J27" s="3">
        <f>IF(J9&lt;&gt;"",-Investment*UnosPodataka!$M$11,"")</f>
        <v>-1410</v>
      </c>
      <c r="K27" s="3">
        <f>IF(K9&lt;&gt;"",-Investment*UnosPodataka!$M$11,"")</f>
        <v>-1410</v>
      </c>
      <c r="L27" s="3">
        <f>IF(L9&lt;&gt;"",-Investment*UnosPodataka!$M$11,"")</f>
        <v>-1410</v>
      </c>
      <c r="M27" s="3">
        <f>IF(M9&lt;&gt;"",-Investment*UnosPodataka!$M$11,"")</f>
        <v>-1410</v>
      </c>
      <c r="N27" s="3">
        <f>IF(N9&lt;&gt;"",-Investment*UnosPodataka!$M$11,"")</f>
        <v>-1410</v>
      </c>
      <c r="O27" s="3">
        <f>IF(O9&lt;&gt;"",-Investment*UnosPodataka!$M$11,"")</f>
        <v>-1410</v>
      </c>
      <c r="P27" s="3">
        <f>IF(P9&lt;&gt;"",-Investment*UnosPodataka!$M$11,"")</f>
        <v>-1410</v>
      </c>
      <c r="Q27" s="3">
        <f>IF(Q9&lt;&gt;"",-Investment*UnosPodataka!$M$11,"")</f>
        <v>-1410</v>
      </c>
      <c r="R27" s="3">
        <f>IF(R9&lt;&gt;"",-Investment*UnosPodataka!$M$11,"")</f>
        <v>-1410</v>
      </c>
      <c r="S27" s="3">
        <f>IF(S9&lt;&gt;"",-Investment*UnosPodataka!$M$11,"")</f>
        <v>-1410</v>
      </c>
      <c r="T27" s="3">
        <f>IF(T9&lt;&gt;"",-Investment*UnosPodataka!$M$11,"")</f>
        <v>-1410</v>
      </c>
      <c r="U27" s="3">
        <f>IF(U9&lt;&gt;"",-Investment*UnosPodataka!$M$11,"")</f>
        <v>-1410</v>
      </c>
      <c r="V27" s="3">
        <f>IF(V9&lt;&gt;"",-Investment*UnosPodataka!$M$11,"")</f>
        <v>-1410</v>
      </c>
      <c r="W27" s="3">
        <f>IF(W9&lt;&gt;"",-Investment*UnosPodataka!$M$11,"")</f>
        <v>-1410</v>
      </c>
      <c r="X27" s="3">
        <f>IF(X9&lt;&gt;"",-Investment*UnosPodataka!$M$11,"")</f>
        <v>-1410</v>
      </c>
      <c r="Y27" s="3">
        <f>IF(Y9&lt;&gt;"",-Investment*UnosPodataka!$M$11,"")</f>
        <v>-1410</v>
      </c>
    </row>
    <row r="28" spans="1:25" x14ac:dyDescent="0.25">
      <c r="A28" s="65" t="s">
        <v>120</v>
      </c>
      <c r="B28" s="65"/>
      <c r="C28" s="65"/>
      <c r="D28" s="65"/>
      <c r="F28" s="3">
        <f t="shared" ref="F28:Y28" si="5">IF(F9&lt;&gt;"",-(EPOW*WHOUR/1000+ECONS)*EPrice/Kurs_EUR,"")</f>
        <v>-21419.9236068481</v>
      </c>
      <c r="G28" s="3">
        <f t="shared" si="5"/>
        <v>-21419.9236068481</v>
      </c>
      <c r="H28" s="3">
        <f t="shared" si="5"/>
        <v>-21419.9236068481</v>
      </c>
      <c r="I28" s="3">
        <f t="shared" si="5"/>
        <v>-21419.9236068481</v>
      </c>
      <c r="J28" s="3">
        <f t="shared" si="5"/>
        <v>-21419.9236068481</v>
      </c>
      <c r="K28" s="3">
        <f t="shared" si="5"/>
        <v>-21419.9236068481</v>
      </c>
      <c r="L28" s="3">
        <f t="shared" si="5"/>
        <v>-21419.9236068481</v>
      </c>
      <c r="M28" s="3">
        <f t="shared" si="5"/>
        <v>-21419.9236068481</v>
      </c>
      <c r="N28" s="3">
        <f t="shared" si="5"/>
        <v>-21419.9236068481</v>
      </c>
      <c r="O28" s="3">
        <f t="shared" si="5"/>
        <v>-21419.9236068481</v>
      </c>
      <c r="P28" s="3">
        <f t="shared" si="5"/>
        <v>-21419.9236068481</v>
      </c>
      <c r="Q28" s="3">
        <f t="shared" si="5"/>
        <v>-21419.9236068481</v>
      </c>
      <c r="R28" s="3">
        <f t="shared" si="5"/>
        <v>-21419.9236068481</v>
      </c>
      <c r="S28" s="3">
        <f t="shared" si="5"/>
        <v>-21419.9236068481</v>
      </c>
      <c r="T28" s="3">
        <f t="shared" si="5"/>
        <v>-21419.9236068481</v>
      </c>
      <c r="U28" s="3">
        <f t="shared" si="5"/>
        <v>-21419.9236068481</v>
      </c>
      <c r="V28" s="3">
        <f t="shared" si="5"/>
        <v>-21419.9236068481</v>
      </c>
      <c r="W28" s="3">
        <f t="shared" si="5"/>
        <v>-21419.9236068481</v>
      </c>
      <c r="X28" s="3">
        <f t="shared" si="5"/>
        <v>-21419.9236068481</v>
      </c>
      <c r="Y28" s="3">
        <f t="shared" si="5"/>
        <v>-21419.9236068481</v>
      </c>
    </row>
    <row r="29" spans="1:25" x14ac:dyDescent="0.25">
      <c r="A29" s="65" t="s">
        <v>110</v>
      </c>
      <c r="B29" s="65"/>
      <c r="C29" s="65"/>
      <c r="D29" s="65"/>
      <c r="F29" s="3">
        <f t="shared" ref="F29:Y29" si="6">IF(F9&lt;&gt;"",-WCONS*3.6*WHOUR*WPRICE/Kurs_EUR,"")</f>
        <v>-2464.0883977900553</v>
      </c>
      <c r="G29" s="3">
        <f t="shared" si="6"/>
        <v>-2464.0883977900553</v>
      </c>
      <c r="H29" s="3">
        <f t="shared" si="6"/>
        <v>-2464.0883977900553</v>
      </c>
      <c r="I29" s="3">
        <f t="shared" si="6"/>
        <v>-2464.0883977900553</v>
      </c>
      <c r="J29" s="3">
        <f t="shared" si="6"/>
        <v>-2464.0883977900553</v>
      </c>
      <c r="K29" s="3">
        <f t="shared" si="6"/>
        <v>-2464.0883977900553</v>
      </c>
      <c r="L29" s="3">
        <f t="shared" si="6"/>
        <v>-2464.0883977900553</v>
      </c>
      <c r="M29" s="3">
        <f t="shared" si="6"/>
        <v>-2464.0883977900553</v>
      </c>
      <c r="N29" s="3">
        <f t="shared" si="6"/>
        <v>-2464.0883977900553</v>
      </c>
      <c r="O29" s="3">
        <f t="shared" si="6"/>
        <v>-2464.0883977900553</v>
      </c>
      <c r="P29" s="3">
        <f t="shared" si="6"/>
        <v>-2464.0883977900553</v>
      </c>
      <c r="Q29" s="3">
        <f t="shared" si="6"/>
        <v>-2464.0883977900553</v>
      </c>
      <c r="R29" s="3">
        <f t="shared" si="6"/>
        <v>-2464.0883977900553</v>
      </c>
      <c r="S29" s="3">
        <f t="shared" si="6"/>
        <v>-2464.0883977900553</v>
      </c>
      <c r="T29" s="3">
        <f t="shared" si="6"/>
        <v>-2464.0883977900553</v>
      </c>
      <c r="U29" s="3">
        <f t="shared" si="6"/>
        <v>-2464.0883977900553</v>
      </c>
      <c r="V29" s="3">
        <f t="shared" si="6"/>
        <v>-2464.0883977900553</v>
      </c>
      <c r="W29" s="3">
        <f t="shared" si="6"/>
        <v>-2464.0883977900553</v>
      </c>
      <c r="X29" s="3">
        <f t="shared" si="6"/>
        <v>-2464.0883977900553</v>
      </c>
      <c r="Y29" s="3">
        <f t="shared" si="6"/>
        <v>-2464.0883977900553</v>
      </c>
    </row>
    <row r="30" spans="1:25" x14ac:dyDescent="0.25">
      <c r="A30" s="65" t="s">
        <v>159</v>
      </c>
      <c r="B30" s="65"/>
      <c r="C30" s="65"/>
      <c r="D30" s="65"/>
      <c r="F30" s="3">
        <f>IF(F9&lt;&gt;"",-Investment*UnosPodataka!$M$12,"")</f>
        <v>-9400</v>
      </c>
      <c r="G30" s="3">
        <f>IF(G9&lt;&gt;"",-Investment*UnosPodataka!$M$12,"")</f>
        <v>-9400</v>
      </c>
      <c r="H30" s="3">
        <f>IF(H9&lt;&gt;"",-Investment*UnosPodataka!$M$12,"")</f>
        <v>-9400</v>
      </c>
      <c r="I30" s="3">
        <f>IF(I9&lt;&gt;"",-Investment*UnosPodataka!$M$12,"")</f>
        <v>-9400</v>
      </c>
      <c r="J30" s="3">
        <f>IF(J9&lt;&gt;"",-Investment*UnosPodataka!$M$12,"")</f>
        <v>-9400</v>
      </c>
      <c r="K30" s="3">
        <f>IF(K9&lt;&gt;"",-Investment*UnosPodataka!$M$12,"")</f>
        <v>-9400</v>
      </c>
      <c r="L30" s="3">
        <f>IF(L9&lt;&gt;"",-Investment*UnosPodataka!$M$12,"")</f>
        <v>-9400</v>
      </c>
      <c r="M30" s="3">
        <f>IF(M9&lt;&gt;"",-Investment*UnosPodataka!$M$12,"")</f>
        <v>-9400</v>
      </c>
      <c r="N30" s="3">
        <f>IF(N9&lt;&gt;"",-Investment*UnosPodataka!$M$12,"")</f>
        <v>-9400</v>
      </c>
      <c r="O30" s="3">
        <f>IF(O9&lt;&gt;"",-Investment*UnosPodataka!$M$12,"")</f>
        <v>-9400</v>
      </c>
      <c r="P30" s="3">
        <f>IF(P9&lt;&gt;"",-Investment*UnosPodataka!$M$12,"")</f>
        <v>-9400</v>
      </c>
      <c r="Q30" s="3">
        <f>IF(Q9&lt;&gt;"",-Investment*UnosPodataka!$M$12,"")</f>
        <v>-9400</v>
      </c>
      <c r="R30" s="3">
        <f>IF(R9&lt;&gt;"",-Investment*UnosPodataka!$M$12,"")</f>
        <v>-9400</v>
      </c>
      <c r="S30" s="3">
        <f>IF(S9&lt;&gt;"",-Investment*UnosPodataka!$M$12,"")</f>
        <v>-9400</v>
      </c>
      <c r="T30" s="3">
        <f>IF(T9&lt;&gt;"",-Investment*UnosPodataka!$M$12,"")</f>
        <v>-9400</v>
      </c>
      <c r="U30" s="3">
        <f>IF(U9&lt;&gt;"",-Investment*UnosPodataka!$M$12,"")</f>
        <v>-9400</v>
      </c>
      <c r="V30" s="3">
        <f>IF(V9&lt;&gt;"",-Investment*UnosPodataka!$M$12,"")</f>
        <v>-9400</v>
      </c>
      <c r="W30" s="3">
        <f>IF(W9&lt;&gt;"",-Investment*UnosPodataka!$M$12,"")</f>
        <v>-9400</v>
      </c>
      <c r="X30" s="3">
        <f>IF(X9&lt;&gt;"",-Investment*UnosPodataka!$M$12,"")</f>
        <v>-9400</v>
      </c>
      <c r="Y30" s="3">
        <f>IF(Y9&lt;&gt;"",-Investment*UnosPodataka!$M$12,"")</f>
        <v>-9400</v>
      </c>
    </row>
    <row r="31" spans="1:25" x14ac:dyDescent="0.25">
      <c r="A31" s="65" t="s">
        <v>111</v>
      </c>
      <c r="B31" s="65"/>
      <c r="C31" s="65"/>
      <c r="D31" s="65"/>
      <c r="F31" s="3">
        <f>IF(F9&lt;&gt;"",-(1-UnosPodataka!$M$10)*'FinInd+CO2'!F19,"")</f>
        <v>0</v>
      </c>
      <c r="G31" s="3">
        <f>IF(G9&lt;&gt;"",-(1-UnosPodataka!$M$10)*'FinInd+CO2'!G19,"")</f>
        <v>0</v>
      </c>
      <c r="H31" s="3">
        <f>IF(H9&lt;&gt;"",-(1-UnosPodataka!$M$10)*'FinInd+CO2'!H19,"")</f>
        <v>0</v>
      </c>
      <c r="I31" s="3">
        <f>IF(I9&lt;&gt;"",-(1-UnosPodataka!$M$10)*'FinInd+CO2'!I19,"")</f>
        <v>0</v>
      </c>
      <c r="J31" s="3">
        <f>IF(J9&lt;&gt;"",-(1-UnosPodataka!$M$10)*'FinInd+CO2'!J19,"")</f>
        <v>0</v>
      </c>
      <c r="K31" s="3">
        <f>IF(K9&lt;&gt;"",-(1-UnosPodataka!$M$10)*'FinInd+CO2'!K19,"")</f>
        <v>0</v>
      </c>
      <c r="L31" s="3">
        <f>IF(L9&lt;&gt;"",-(1-UnosPodataka!$M$10)*'FinInd+CO2'!L19,"")</f>
        <v>0</v>
      </c>
      <c r="M31" s="3">
        <f>IF(M9&lt;&gt;"",-(1-UnosPodataka!$M$10)*'FinInd+CO2'!M19,"")</f>
        <v>0</v>
      </c>
      <c r="N31" s="3">
        <f>IF(N9&lt;&gt;"",-(1-UnosPodataka!$M$10)*'FinInd+CO2'!N19,"")</f>
        <v>0</v>
      </c>
      <c r="O31" s="3">
        <f>IF(O9&lt;&gt;"",-(1-UnosPodataka!$M$10)*'FinInd+CO2'!O19,"")</f>
        <v>0</v>
      </c>
      <c r="P31" s="3">
        <f>IF(P9&lt;&gt;"",-(1-UnosPodataka!$M$10)*'FinInd+CO2'!P19,"")</f>
        <v>0</v>
      </c>
      <c r="Q31" s="3">
        <f>IF(Q9&lt;&gt;"",-(1-UnosPodataka!$M$10)*'FinInd+CO2'!Q19,"")</f>
        <v>0</v>
      </c>
      <c r="R31" s="3">
        <f>IF(R9&lt;&gt;"",-(1-UnosPodataka!$M$10)*'FinInd+CO2'!R19,"")</f>
        <v>0</v>
      </c>
      <c r="S31" s="3">
        <f>IF(S9&lt;&gt;"",-(1-UnosPodataka!$M$10)*'FinInd+CO2'!S19,"")</f>
        <v>0</v>
      </c>
      <c r="T31" s="3">
        <f>IF(T9&lt;&gt;"",-(1-UnosPodataka!$M$10)*'FinInd+CO2'!T19,"")</f>
        <v>0</v>
      </c>
      <c r="U31" s="3">
        <f>IF(U9&lt;&gt;"",-(1-UnosPodataka!$M$10)*'FinInd+CO2'!U19,"")</f>
        <v>0</v>
      </c>
      <c r="V31" s="3">
        <f>IF(V9&lt;&gt;"",-(1-UnosPodataka!$M$10)*'FinInd+CO2'!V19,"")</f>
        <v>0</v>
      </c>
      <c r="W31" s="3">
        <f>IF(W9&lt;&gt;"",-(1-UnosPodataka!$M$10)*'FinInd+CO2'!W19,"")</f>
        <v>0</v>
      </c>
      <c r="X31" s="3">
        <f>IF(X9&lt;&gt;"",-(1-UnosPodataka!$M$10)*'FinInd+CO2'!X19,"")</f>
        <v>0</v>
      </c>
      <c r="Y31" s="3">
        <f>IF(Y9&lt;&gt;"",-(1-UnosPodataka!$M$10)*'FinInd+CO2'!Y19,"")</f>
        <v>0</v>
      </c>
    </row>
    <row r="32" spans="1:25" x14ac:dyDescent="0.25">
      <c r="A32" s="69" t="s">
        <v>121</v>
      </c>
      <c r="B32" s="69"/>
      <c r="C32" s="69"/>
      <c r="D32" s="69"/>
      <c r="E32" s="32">
        <f>+SUM(E11:E13)</f>
        <v>94000</v>
      </c>
      <c r="F32" s="32">
        <f>IF(F9&lt;&gt;"",SUM(F24:F31),"")</f>
        <v>-47337.651954691624</v>
      </c>
      <c r="G32" s="32">
        <f t="shared" ref="G32:Y32" si="7">IF(G9&lt;&gt;"",SUM(G24:G31),"")</f>
        <v>-47337.651954691624</v>
      </c>
      <c r="H32" s="32">
        <f t="shared" si="7"/>
        <v>-47337.651954691624</v>
      </c>
      <c r="I32" s="32">
        <f t="shared" si="7"/>
        <v>-47337.651954691624</v>
      </c>
      <c r="J32" s="32">
        <f t="shared" si="7"/>
        <v>-47337.651954691624</v>
      </c>
      <c r="K32" s="32">
        <f t="shared" si="7"/>
        <v>-47337.651954691624</v>
      </c>
      <c r="L32" s="32">
        <f t="shared" si="7"/>
        <v>-47337.651954691624</v>
      </c>
      <c r="M32" s="32">
        <f t="shared" si="7"/>
        <v>-47337.651954691624</v>
      </c>
      <c r="N32" s="32">
        <f t="shared" si="7"/>
        <v>-47337.651954691624</v>
      </c>
      <c r="O32" s="32">
        <f t="shared" si="7"/>
        <v>-47337.651954691624</v>
      </c>
      <c r="P32" s="32">
        <f t="shared" si="7"/>
        <v>-47337.651954691624</v>
      </c>
      <c r="Q32" s="32">
        <f t="shared" si="7"/>
        <v>-47337.651954691624</v>
      </c>
      <c r="R32" s="32">
        <f t="shared" si="7"/>
        <v>-34794.012004638156</v>
      </c>
      <c r="S32" s="32">
        <f t="shared" si="7"/>
        <v>-34794.012004638156</v>
      </c>
      <c r="T32" s="32">
        <f t="shared" si="7"/>
        <v>-34794.012004638156</v>
      </c>
      <c r="U32" s="32">
        <f t="shared" si="7"/>
        <v>-34794.012004638156</v>
      </c>
      <c r="V32" s="32">
        <f t="shared" si="7"/>
        <v>-34794.012004638156</v>
      </c>
      <c r="W32" s="32">
        <f t="shared" si="7"/>
        <v>-34794.012004638156</v>
      </c>
      <c r="X32" s="32">
        <f t="shared" si="7"/>
        <v>-34794.012004638156</v>
      </c>
      <c r="Y32" s="32">
        <f t="shared" si="7"/>
        <v>-34794.012004638156</v>
      </c>
    </row>
    <row r="34" spans="1:25" x14ac:dyDescent="0.25">
      <c r="A34" t="s">
        <v>163</v>
      </c>
      <c r="E34" s="3">
        <f>-SUM(E11:E13)</f>
        <v>-94000</v>
      </c>
      <c r="F34" s="3">
        <f>+F32-F30-F37</f>
        <v>-37937.651954691624</v>
      </c>
      <c r="G34" s="3">
        <f t="shared" ref="G34:Y34" si="8">+G32-G30-G37</f>
        <v>-37937.651954691624</v>
      </c>
      <c r="H34" s="3">
        <f t="shared" si="8"/>
        <v>-37937.651954691624</v>
      </c>
      <c r="I34" s="3">
        <f t="shared" si="8"/>
        <v>-37937.651954691624</v>
      </c>
      <c r="J34" s="3">
        <f t="shared" si="8"/>
        <v>-37937.651954691624</v>
      </c>
      <c r="K34" s="3">
        <f t="shared" si="8"/>
        <v>-37937.651954691624</v>
      </c>
      <c r="L34" s="3">
        <f t="shared" si="8"/>
        <v>-37937.651954691624</v>
      </c>
      <c r="M34" s="3">
        <f t="shared" si="8"/>
        <v>-37937.651954691624</v>
      </c>
      <c r="N34" s="3">
        <f t="shared" si="8"/>
        <v>-37937.651954691624</v>
      </c>
      <c r="O34" s="3">
        <f t="shared" si="8"/>
        <v>-37937.651954691624</v>
      </c>
      <c r="P34" s="3">
        <f t="shared" si="8"/>
        <v>-37937.651954691624</v>
      </c>
      <c r="Q34" s="3">
        <f t="shared" si="8"/>
        <v>-37937.651954691624</v>
      </c>
      <c r="R34" s="3">
        <f t="shared" si="8"/>
        <v>-25394.012004638156</v>
      </c>
      <c r="S34" s="3">
        <f t="shared" si="8"/>
        <v>-25394.012004638156</v>
      </c>
      <c r="T34" s="3">
        <f t="shared" si="8"/>
        <v>-25394.012004638156</v>
      </c>
      <c r="U34" s="3">
        <f t="shared" si="8"/>
        <v>-25394.012004638156</v>
      </c>
      <c r="V34" s="3">
        <f t="shared" si="8"/>
        <v>-25394.012004638156</v>
      </c>
      <c r="W34" s="3">
        <f t="shared" si="8"/>
        <v>-25394.012004638156</v>
      </c>
      <c r="X34" s="3">
        <f t="shared" si="8"/>
        <v>-25394.012004638156</v>
      </c>
      <c r="Y34" s="3">
        <f t="shared" si="8"/>
        <v>-25394.012004638156</v>
      </c>
    </row>
    <row r="35" spans="1:25" x14ac:dyDescent="0.25">
      <c r="A35" s="58" t="s">
        <v>160</v>
      </c>
      <c r="B35" s="58"/>
      <c r="C35" s="58"/>
      <c r="D35" s="58"/>
      <c r="E35" s="33"/>
      <c r="F35" s="32">
        <f>IF(F9&lt;&gt;"",F21+F32-F25,"")</f>
        <v>-14885.056228088124</v>
      </c>
      <c r="G35" s="32">
        <f t="shared" ref="G35:Y35" si="9">IF(G9&lt;&gt;"",G21+G32-G25,"")</f>
        <v>-14498.699434081707</v>
      </c>
      <c r="H35" s="32">
        <f t="shared" si="9"/>
        <v>-14065.979824794518</v>
      </c>
      <c r="I35" s="32">
        <f t="shared" si="9"/>
        <v>-13581.333862392868</v>
      </c>
      <c r="J35" s="32">
        <f t="shared" si="9"/>
        <v>-13038.530384503021</v>
      </c>
      <c r="K35" s="32">
        <f t="shared" si="9"/>
        <v>-12430.590489266391</v>
      </c>
      <c r="L35" s="32">
        <f t="shared" si="9"/>
        <v>-11749.697806601367</v>
      </c>
      <c r="M35" s="32">
        <f t="shared" si="9"/>
        <v>-10987.098002016539</v>
      </c>
      <c r="N35" s="32">
        <f t="shared" si="9"/>
        <v>-10132.986220881532</v>
      </c>
      <c r="O35" s="32">
        <f t="shared" si="9"/>
        <v>-9176.3810260103237</v>
      </c>
      <c r="P35" s="32">
        <f t="shared" si="9"/>
        <v>-8104.9832077545725</v>
      </c>
      <c r="Q35" s="32">
        <f t="shared" si="9"/>
        <v>-6905.0176513081278</v>
      </c>
      <c r="R35" s="32">
        <f t="shared" si="9"/>
        <v>-5561.0562280881277</v>
      </c>
      <c r="S35" s="32">
        <f t="shared" si="9"/>
        <v>-5561.0562280881277</v>
      </c>
      <c r="T35" s="32">
        <f t="shared" si="9"/>
        <v>-5561.0562280881277</v>
      </c>
      <c r="U35" s="32">
        <f t="shared" si="9"/>
        <v>-5561.0562280881277</v>
      </c>
      <c r="V35" s="32">
        <f t="shared" si="9"/>
        <v>-5561.0562280881277</v>
      </c>
      <c r="W35" s="32">
        <f t="shared" si="9"/>
        <v>-5561.0562280881277</v>
      </c>
      <c r="X35" s="32">
        <f t="shared" si="9"/>
        <v>-5561.0562280881277</v>
      </c>
      <c r="Y35" s="32">
        <f t="shared" si="9"/>
        <v>-5561.0562280881277</v>
      </c>
    </row>
    <row r="36" spans="1:25" x14ac:dyDescent="0.25">
      <c r="A36" s="70"/>
      <c r="B36" s="70"/>
      <c r="C36" s="70"/>
      <c r="D36" s="70"/>
    </row>
    <row r="37" spans="1:25" x14ac:dyDescent="0.25">
      <c r="A37" s="65" t="s">
        <v>113</v>
      </c>
      <c r="B37" s="65"/>
      <c r="C37" s="65"/>
      <c r="D37" s="65"/>
      <c r="F37" s="3">
        <f t="shared" ref="F37:Y37" si="10">IF(F9&lt;&gt;"",IF(F35&gt;0,F35*VAT,0),"")</f>
        <v>0</v>
      </c>
      <c r="G37" s="3">
        <f t="shared" si="10"/>
        <v>0</v>
      </c>
      <c r="H37" s="3">
        <f t="shared" si="10"/>
        <v>0</v>
      </c>
      <c r="I37" s="3">
        <f t="shared" si="10"/>
        <v>0</v>
      </c>
      <c r="J37" s="3">
        <f t="shared" si="10"/>
        <v>0</v>
      </c>
      <c r="K37" s="3">
        <f t="shared" si="10"/>
        <v>0</v>
      </c>
      <c r="L37" s="3">
        <f t="shared" si="10"/>
        <v>0</v>
      </c>
      <c r="M37" s="3">
        <f t="shared" si="10"/>
        <v>0</v>
      </c>
      <c r="N37" s="3">
        <f t="shared" si="10"/>
        <v>0</v>
      </c>
      <c r="O37" s="3">
        <f t="shared" si="10"/>
        <v>0</v>
      </c>
      <c r="P37" s="3">
        <f t="shared" si="10"/>
        <v>0</v>
      </c>
      <c r="Q37" s="3">
        <f t="shared" si="10"/>
        <v>0</v>
      </c>
      <c r="R37" s="3">
        <f t="shared" si="10"/>
        <v>0</v>
      </c>
      <c r="S37" s="3">
        <f t="shared" si="10"/>
        <v>0</v>
      </c>
      <c r="T37" s="3">
        <f t="shared" si="10"/>
        <v>0</v>
      </c>
      <c r="U37" s="3">
        <f t="shared" si="10"/>
        <v>0</v>
      </c>
      <c r="V37" s="3">
        <f t="shared" si="10"/>
        <v>0</v>
      </c>
      <c r="W37" s="3">
        <f t="shared" si="10"/>
        <v>0</v>
      </c>
      <c r="X37" s="3">
        <f t="shared" si="10"/>
        <v>0</v>
      </c>
      <c r="Y37" s="3">
        <f t="shared" si="10"/>
        <v>0</v>
      </c>
    </row>
    <row r="38" spans="1:25" x14ac:dyDescent="0.25">
      <c r="A38" s="58" t="s">
        <v>114</v>
      </c>
      <c r="B38" s="58"/>
      <c r="C38" s="58"/>
      <c r="D38" s="58"/>
      <c r="E38" s="32"/>
      <c r="F38" s="32">
        <f t="shared" ref="F38:Y38" si="11">IF(F9&lt;&gt;"",F35-F37,"")</f>
        <v>-14885.056228088124</v>
      </c>
      <c r="G38" s="32">
        <f t="shared" si="11"/>
        <v>-14498.699434081707</v>
      </c>
      <c r="H38" s="32">
        <f t="shared" si="11"/>
        <v>-14065.979824794518</v>
      </c>
      <c r="I38" s="32">
        <f t="shared" si="11"/>
        <v>-13581.333862392868</v>
      </c>
      <c r="J38" s="32">
        <f t="shared" si="11"/>
        <v>-13038.530384503021</v>
      </c>
      <c r="K38" s="32">
        <f t="shared" si="11"/>
        <v>-12430.590489266391</v>
      </c>
      <c r="L38" s="32">
        <f t="shared" si="11"/>
        <v>-11749.697806601367</v>
      </c>
      <c r="M38" s="32">
        <f t="shared" si="11"/>
        <v>-10987.098002016539</v>
      </c>
      <c r="N38" s="32">
        <f t="shared" si="11"/>
        <v>-10132.986220881532</v>
      </c>
      <c r="O38" s="32">
        <f t="shared" si="11"/>
        <v>-9176.3810260103237</v>
      </c>
      <c r="P38" s="32">
        <f t="shared" si="11"/>
        <v>-8104.9832077545725</v>
      </c>
      <c r="Q38" s="32">
        <f t="shared" si="11"/>
        <v>-6905.0176513081278</v>
      </c>
      <c r="R38" s="32">
        <f t="shared" si="11"/>
        <v>-5561.0562280881277</v>
      </c>
      <c r="S38" s="32">
        <f t="shared" si="11"/>
        <v>-5561.0562280881277</v>
      </c>
      <c r="T38" s="32">
        <f t="shared" si="11"/>
        <v>-5561.0562280881277</v>
      </c>
      <c r="U38" s="32">
        <f t="shared" si="11"/>
        <v>-5561.0562280881277</v>
      </c>
      <c r="V38" s="32">
        <f t="shared" si="11"/>
        <v>-5561.0562280881277</v>
      </c>
      <c r="W38" s="32">
        <f t="shared" si="11"/>
        <v>-5561.0562280881277</v>
      </c>
      <c r="X38" s="32">
        <f t="shared" si="11"/>
        <v>-5561.0562280881277</v>
      </c>
      <c r="Y38" s="32">
        <f t="shared" si="11"/>
        <v>-5561.0562280881277</v>
      </c>
    </row>
    <row r="40" spans="1:25" x14ac:dyDescent="0.25">
      <c r="A40" s="34" t="s">
        <v>164</v>
      </c>
      <c r="E40" s="3">
        <f>-SUM(E11:E13)</f>
        <v>-94000</v>
      </c>
      <c r="F40" s="3">
        <f>+F21+F34</f>
        <v>-8704.6961781415957</v>
      </c>
      <c r="G40" s="3">
        <f t="shared" ref="G40:Y40" si="12">+G21+G34</f>
        <v>-8704.6961781415957</v>
      </c>
      <c r="H40" s="3">
        <f t="shared" si="12"/>
        <v>-8704.6961781415957</v>
      </c>
      <c r="I40" s="3">
        <f t="shared" si="12"/>
        <v>-8704.6961781415957</v>
      </c>
      <c r="J40" s="3">
        <f t="shared" si="12"/>
        <v>-8704.6961781415957</v>
      </c>
      <c r="K40" s="3">
        <f t="shared" si="12"/>
        <v>-8704.6961781415957</v>
      </c>
      <c r="L40" s="3">
        <f t="shared" si="12"/>
        <v>-8704.6961781415957</v>
      </c>
      <c r="M40" s="3">
        <f t="shared" si="12"/>
        <v>-8704.6961781415957</v>
      </c>
      <c r="N40" s="3">
        <f t="shared" si="12"/>
        <v>-8704.6961781415957</v>
      </c>
      <c r="O40" s="3">
        <f t="shared" si="12"/>
        <v>-8704.6961781415957</v>
      </c>
      <c r="P40" s="3">
        <f t="shared" si="12"/>
        <v>-8704.6961781415957</v>
      </c>
      <c r="Q40" s="3">
        <f t="shared" si="12"/>
        <v>-8704.6961781415957</v>
      </c>
      <c r="R40" s="3">
        <f t="shared" si="12"/>
        <v>3838.9437719118723</v>
      </c>
      <c r="S40" s="3">
        <f t="shared" si="12"/>
        <v>3838.9437719118723</v>
      </c>
      <c r="T40" s="3">
        <f t="shared" si="12"/>
        <v>3838.9437719118723</v>
      </c>
      <c r="U40" s="3">
        <f t="shared" si="12"/>
        <v>3838.9437719118723</v>
      </c>
      <c r="V40" s="3">
        <f t="shared" si="12"/>
        <v>3838.9437719118723</v>
      </c>
      <c r="W40" s="3">
        <f t="shared" si="12"/>
        <v>3838.9437719118723</v>
      </c>
      <c r="X40" s="3">
        <f t="shared" si="12"/>
        <v>3838.9437719118723</v>
      </c>
      <c r="Y40" s="3">
        <f t="shared" si="12"/>
        <v>3838.9437719118723</v>
      </c>
    </row>
    <row r="41" spans="1:25" x14ac:dyDescent="0.25">
      <c r="A41" s="34" t="s">
        <v>165</v>
      </c>
      <c r="E41" s="3">
        <f>+E40</f>
        <v>-94000</v>
      </c>
      <c r="F41" s="3">
        <f>+E41+F40</f>
        <v>-102704.6961781416</v>
      </c>
      <c r="G41" s="3">
        <f t="shared" ref="G41:Y41" si="13">+F41+G40</f>
        <v>-111409.39235628321</v>
      </c>
      <c r="H41" s="3">
        <f t="shared" si="13"/>
        <v>-120114.08853442481</v>
      </c>
      <c r="I41" s="3">
        <f t="shared" si="13"/>
        <v>-128818.78471256641</v>
      </c>
      <c r="J41" s="3">
        <f t="shared" si="13"/>
        <v>-137523.48089070802</v>
      </c>
      <c r="K41" s="3">
        <f t="shared" si="13"/>
        <v>-146228.17706884962</v>
      </c>
      <c r="L41" s="3">
        <f t="shared" si="13"/>
        <v>-154932.87324699122</v>
      </c>
      <c r="M41" s="3">
        <f t="shared" si="13"/>
        <v>-163637.56942513282</v>
      </c>
      <c r="N41" s="3">
        <f t="shared" si="13"/>
        <v>-172342.26560327443</v>
      </c>
      <c r="O41" s="3">
        <f t="shared" si="13"/>
        <v>-181046.96178141603</v>
      </c>
      <c r="P41" s="3">
        <f t="shared" si="13"/>
        <v>-189751.65795955763</v>
      </c>
      <c r="Q41" s="3">
        <f t="shared" si="13"/>
        <v>-198456.35413769924</v>
      </c>
      <c r="R41" s="3">
        <f t="shared" si="13"/>
        <v>-194617.41036578736</v>
      </c>
      <c r="S41" s="3">
        <f t="shared" si="13"/>
        <v>-190778.46659387549</v>
      </c>
      <c r="T41" s="3">
        <f t="shared" si="13"/>
        <v>-186939.52282196362</v>
      </c>
      <c r="U41" s="3">
        <f t="shared" si="13"/>
        <v>-183100.57905005175</v>
      </c>
      <c r="V41" s="3">
        <f t="shared" si="13"/>
        <v>-179261.63527813987</v>
      </c>
      <c r="W41" s="3">
        <f t="shared" si="13"/>
        <v>-175422.691506228</v>
      </c>
      <c r="X41" s="3">
        <f t="shared" si="13"/>
        <v>-171583.74773431613</v>
      </c>
      <c r="Y41" s="3">
        <f t="shared" si="13"/>
        <v>-167744.80396240426</v>
      </c>
    </row>
    <row r="42" spans="1:25" x14ac:dyDescent="0.25">
      <c r="A42" s="18"/>
    </row>
    <row r="43" spans="1:25" x14ac:dyDescent="0.25">
      <c r="A43" s="34" t="s">
        <v>73</v>
      </c>
      <c r="E43" s="7">
        <f>+FinaIndicators!E41</f>
        <v>0.10309882978723406</v>
      </c>
    </row>
    <row r="44" spans="1:25" x14ac:dyDescent="0.25">
      <c r="A44" s="34" t="s">
        <v>166</v>
      </c>
      <c r="E44" s="3">
        <f>IF(E9&lt;&gt;"",E40*(1+$E$43)^-E9,"")</f>
        <v>-94000</v>
      </c>
      <c r="F44" s="3">
        <f>IF(F9&lt;&gt;"",F40*(1+$E$43)^-F9,"")</f>
        <v>-7891.1299179064108</v>
      </c>
      <c r="G44" s="3">
        <f t="shared" ref="G44:Y44" si="14">IF(G9&lt;&gt;"",G40*(1+$E$43)^-G9,"")</f>
        <v>-7153.601930144785</v>
      </c>
      <c r="H44" s="3">
        <f t="shared" si="14"/>
        <v>-6485.0054564236752</v>
      </c>
      <c r="I44" s="3">
        <f t="shared" si="14"/>
        <v>-5878.8979566540784</v>
      </c>
      <c r="J44" s="3">
        <f t="shared" si="14"/>
        <v>-5329.4390293098222</v>
      </c>
      <c r="K44" s="3">
        <f t="shared" si="14"/>
        <v>-4831.3341338035552</v>
      </c>
      <c r="L44" s="3">
        <f t="shared" si="14"/>
        <v>-4379.7835727333904</v>
      </c>
      <c r="M44" s="3">
        <f t="shared" si="14"/>
        <v>-3970.4362423973967</v>
      </c>
      <c r="N44" s="3">
        <f t="shared" si="14"/>
        <v>-3599.3477059197089</v>
      </c>
      <c r="O44" s="3">
        <f t="shared" si="14"/>
        <v>-3262.9421849844148</v>
      </c>
      <c r="P44" s="3">
        <f t="shared" si="14"/>
        <v>-2957.9781039326922</v>
      </c>
      <c r="Q44" s="3">
        <f t="shared" si="14"/>
        <v>-2681.5168542089991</v>
      </c>
      <c r="R44" s="3">
        <f t="shared" si="14"/>
        <v>1072.0727095095397</v>
      </c>
      <c r="S44" s="3">
        <f t="shared" si="14"/>
        <v>971.87367129772144</v>
      </c>
      <c r="T44" s="3">
        <f t="shared" si="14"/>
        <v>881.03952706139376</v>
      </c>
      <c r="U44" s="3">
        <f t="shared" si="14"/>
        <v>798.69500653112721</v>
      </c>
      <c r="V44" s="3">
        <f t="shared" si="14"/>
        <v>724.04664474640003</v>
      </c>
      <c r="W44" s="3">
        <f t="shared" si="14"/>
        <v>656.37513629314083</v>
      </c>
      <c r="X44" s="3">
        <f t="shared" si="14"/>
        <v>595.0284041365021</v>
      </c>
      <c r="Y44" s="3">
        <f t="shared" si="14"/>
        <v>539.41531626071196</v>
      </c>
    </row>
    <row r="45" spans="1:25" x14ac:dyDescent="0.25">
      <c r="A45" s="34" t="s">
        <v>167</v>
      </c>
      <c r="E45" s="3">
        <f>+E44</f>
        <v>-94000</v>
      </c>
      <c r="F45" s="3">
        <f>+E45+F44</f>
        <v>-101891.12991790641</v>
      </c>
      <c r="G45" s="3">
        <f t="shared" ref="G45:Y45" si="15">+F45+G44</f>
        <v>-109044.73184805119</v>
      </c>
      <c r="H45" s="3">
        <f t="shared" si="15"/>
        <v>-115529.73730447487</v>
      </c>
      <c r="I45" s="3">
        <f t="shared" si="15"/>
        <v>-121408.63526112895</v>
      </c>
      <c r="J45" s="3">
        <f t="shared" si="15"/>
        <v>-126738.07429043877</v>
      </c>
      <c r="K45" s="3">
        <f t="shared" si="15"/>
        <v>-131569.40842424234</v>
      </c>
      <c r="L45" s="3">
        <f t="shared" si="15"/>
        <v>-135949.19199697574</v>
      </c>
      <c r="M45" s="3">
        <f t="shared" si="15"/>
        <v>-139919.62823937315</v>
      </c>
      <c r="N45" s="3">
        <f t="shared" si="15"/>
        <v>-143518.97594529286</v>
      </c>
      <c r="O45" s="3">
        <f t="shared" si="15"/>
        <v>-146781.91813027728</v>
      </c>
      <c r="P45" s="3">
        <f t="shared" si="15"/>
        <v>-149739.89623420997</v>
      </c>
      <c r="Q45" s="3">
        <f t="shared" si="15"/>
        <v>-152421.41308841898</v>
      </c>
      <c r="R45" s="3">
        <f t="shared" si="15"/>
        <v>-151349.34037890943</v>
      </c>
      <c r="S45" s="3">
        <f t="shared" si="15"/>
        <v>-150377.46670761172</v>
      </c>
      <c r="T45" s="3">
        <f t="shared" si="15"/>
        <v>-149496.42718055032</v>
      </c>
      <c r="U45" s="3">
        <f t="shared" si="15"/>
        <v>-148697.73217401918</v>
      </c>
      <c r="V45" s="3">
        <f t="shared" si="15"/>
        <v>-147973.68552927277</v>
      </c>
      <c r="W45" s="3">
        <f t="shared" si="15"/>
        <v>-147317.31039297962</v>
      </c>
      <c r="X45" s="3">
        <f t="shared" si="15"/>
        <v>-146722.28198884311</v>
      </c>
      <c r="Y45" s="3">
        <f t="shared" si="15"/>
        <v>-146182.8666725824</v>
      </c>
    </row>
    <row r="46" spans="1:25" x14ac:dyDescent="0.25">
      <c r="A46" s="34"/>
    </row>
    <row r="47" spans="1:25" x14ac:dyDescent="0.25">
      <c r="A47" s="35" t="s">
        <v>168</v>
      </c>
      <c r="B47" s="37"/>
      <c r="C47" s="37"/>
      <c r="D47" s="37"/>
      <c r="E47" s="38">
        <f>+NPV(E43,E40:Y40)</f>
        <v>-132520.19014540897</v>
      </c>
      <c r="F47" s="37"/>
    </row>
    <row r="48" spans="1:25" x14ac:dyDescent="0.25">
      <c r="A48" s="35" t="s">
        <v>169</v>
      </c>
      <c r="B48" s="37"/>
      <c r="C48" s="37"/>
      <c r="D48" s="37"/>
      <c r="E48" s="39">
        <f>+IRR(E40:Y40,10%)</f>
        <v>-0.14378299757577473</v>
      </c>
      <c r="F48" s="37"/>
    </row>
    <row r="49" spans="1:26" x14ac:dyDescent="0.25">
      <c r="A49" s="35" t="s">
        <v>170</v>
      </c>
      <c r="B49" s="37"/>
      <c r="C49" s="37"/>
      <c r="D49" s="37"/>
      <c r="E49" s="38">
        <f>+NPV(E43,F21:Y21)/-NPV(E43,E34:Y34)</f>
        <v>0.68950457003028665</v>
      </c>
      <c r="F49" s="37"/>
    </row>
    <row r="50" spans="1:26" x14ac:dyDescent="0.25">
      <c r="A50" s="35" t="s">
        <v>171</v>
      </c>
      <c r="B50" s="37"/>
      <c r="C50" s="37"/>
      <c r="D50" s="37"/>
      <c r="E50" s="37" t="e" cm="1">
        <f t="array" ref="E50">+LOOKUP(INDEX(E41:Y41,MATCH(TRUE,E41:Y41&gt;0,0)),E41:Y41,E9:Y9)</f>
        <v>#N/A</v>
      </c>
      <c r="F50" s="37" t="s">
        <v>190</v>
      </c>
    </row>
    <row r="51" spans="1:26" x14ac:dyDescent="0.25">
      <c r="A51" s="35" t="s">
        <v>172</v>
      </c>
      <c r="B51" s="37"/>
      <c r="C51" s="37"/>
      <c r="D51" s="37"/>
      <c r="E51" s="37" t="e" cm="1">
        <f t="array" ref="E51">+LOOKUP(INDEX(E45:Y45,MATCH(TRUE,E45:Y45&gt;0,0)),E45:Y45,E9:Y9)</f>
        <v>#N/A</v>
      </c>
      <c r="F51" s="37" t="s">
        <v>190</v>
      </c>
    </row>
    <row r="53" spans="1:26" x14ac:dyDescent="0.25">
      <c r="A53" s="65" t="s">
        <v>173</v>
      </c>
      <c r="B53" s="65"/>
      <c r="C53" s="65"/>
      <c r="D53" s="65"/>
      <c r="E53" s="3">
        <f>-IF(E9&lt;&gt;"",E32,"")</f>
        <v>-94000</v>
      </c>
      <c r="F53" s="3">
        <f>IF(F9&lt;&gt;"",F34,"")</f>
        <v>-37937.651954691624</v>
      </c>
      <c r="G53" s="3">
        <f t="shared" ref="G53:Y53" si="16">IF(G9&lt;&gt;"",G34,"")</f>
        <v>-37937.651954691624</v>
      </c>
      <c r="H53" s="3">
        <f t="shared" si="16"/>
        <v>-37937.651954691624</v>
      </c>
      <c r="I53" s="3">
        <f t="shared" si="16"/>
        <v>-37937.651954691624</v>
      </c>
      <c r="J53" s="3">
        <f t="shared" si="16"/>
        <v>-37937.651954691624</v>
      </c>
      <c r="K53" s="3">
        <f t="shared" si="16"/>
        <v>-37937.651954691624</v>
      </c>
      <c r="L53" s="3">
        <f t="shared" si="16"/>
        <v>-37937.651954691624</v>
      </c>
      <c r="M53" s="3">
        <f t="shared" si="16"/>
        <v>-37937.651954691624</v>
      </c>
      <c r="N53" s="3">
        <f t="shared" si="16"/>
        <v>-37937.651954691624</v>
      </c>
      <c r="O53" s="3">
        <f t="shared" si="16"/>
        <v>-37937.651954691624</v>
      </c>
      <c r="P53" s="3">
        <f t="shared" si="16"/>
        <v>-37937.651954691624</v>
      </c>
      <c r="Q53" s="3">
        <f t="shared" si="16"/>
        <v>-37937.651954691624</v>
      </c>
      <c r="R53" s="3">
        <f t="shared" si="16"/>
        <v>-25394.012004638156</v>
      </c>
      <c r="S53" s="3">
        <f t="shared" si="16"/>
        <v>-25394.012004638156</v>
      </c>
      <c r="T53" s="3">
        <f t="shared" si="16"/>
        <v>-25394.012004638156</v>
      </c>
      <c r="U53" s="3">
        <f t="shared" si="16"/>
        <v>-25394.012004638156</v>
      </c>
      <c r="V53" s="3">
        <f t="shared" si="16"/>
        <v>-25394.012004638156</v>
      </c>
      <c r="W53" s="3">
        <f t="shared" si="16"/>
        <v>-25394.012004638156</v>
      </c>
      <c r="X53" s="3">
        <f t="shared" si="16"/>
        <v>-25394.012004638156</v>
      </c>
      <c r="Y53" s="3">
        <f t="shared" si="16"/>
        <v>-25394.012004638156</v>
      </c>
      <c r="Z53" s="3"/>
    </row>
    <row r="54" spans="1:26" x14ac:dyDescent="0.25">
      <c r="A54" s="65" t="s">
        <v>174</v>
      </c>
      <c r="B54" s="65"/>
      <c r="C54" s="65"/>
      <c r="D54" s="65"/>
      <c r="E54" s="3">
        <f>IF(E9&lt;&gt;"",E53*(1+$E$43)^-'FinInd+CO2'!E9,"")</f>
        <v>-94000</v>
      </c>
      <c r="F54" s="3">
        <f>IF(F9&lt;&gt;"",F53*(1+$E$43)^-'FinInd+CO2'!F9,"")</f>
        <v>-34391.888496526684</v>
      </c>
      <c r="G54" s="3">
        <f>IF(G9&lt;&gt;"",G53*(1+$E$43)^-'FinInd+CO2'!G9,"")</f>
        <v>-31177.522419419296</v>
      </c>
      <c r="H54" s="3">
        <f>IF(H9&lt;&gt;"",H53*(1+$E$43)^-'FinInd+CO2'!H9,"")</f>
        <v>-28263.580358826799</v>
      </c>
      <c r="I54" s="3">
        <f>IF(I9&lt;&gt;"",I53*(1+$E$43)^-'FinInd+CO2'!I9,"")</f>
        <v>-25621.983811077276</v>
      </c>
      <c r="J54" s="3">
        <f>IF(J9&lt;&gt;"",J53*(1+$E$43)^-'FinInd+CO2'!J9,"")</f>
        <v>-23227.278571240298</v>
      </c>
      <c r="K54" s="3">
        <f>IF(K9&lt;&gt;"",K53*(1+$E$43)^-'FinInd+CO2'!K9,"")</f>
        <v>-21056.389458522386</v>
      </c>
      <c r="L54" s="3">
        <f>IF(L9&lt;&gt;"",L53*(1+$E$43)^-'FinInd+CO2'!L9,"")</f>
        <v>-19088.397965741424</v>
      </c>
      <c r="M54" s="3">
        <f>IF(M9&lt;&gt;"",M53*(1+$E$43)^-'FinInd+CO2'!M9,"")</f>
        <v>-17304.340690328896</v>
      </c>
      <c r="N54" s="3">
        <f>IF(N9&lt;&gt;"",N53*(1+$E$43)^-'FinInd+CO2'!N9,"")</f>
        <v>-15687.026604557783</v>
      </c>
      <c r="O54" s="3">
        <f>IF(O9&lt;&gt;"",O53*(1+$E$43)^-'FinInd+CO2'!O9,"")</f>
        <v>-14220.871404227215</v>
      </c>
      <c r="P54" s="3">
        <f>IF(P9&lt;&gt;"",P53*(1+$E$43)^-'FinInd+CO2'!P9,"")</f>
        <v>-12891.747339601599</v>
      </c>
      <c r="Q54" s="3">
        <f>IF(Q9&lt;&gt;"",Q53*(1+$E$43)^-'FinInd+CO2'!Q9,"")</f>
        <v>-11686.84708158757</v>
      </c>
      <c r="R54" s="3">
        <f>IF(R9&lt;&gt;"",R53*(1+$E$43)^-'FinInd+CO2'!R9,"")</f>
        <v>-7091.5931236919323</v>
      </c>
      <c r="S54" s="3">
        <f>IF(S9&lt;&gt;"",S53*(1+$E$43)^-'FinInd+CO2'!S9,"")</f>
        <v>-6428.7921736439157</v>
      </c>
      <c r="T54" s="3">
        <f>IF(T9&lt;&gt;"",T53*(1+$E$43)^-'FinInd+CO2'!T9,"")</f>
        <v>-5827.9385310234647</v>
      </c>
      <c r="U54" s="3">
        <f>IF(U9&lt;&gt;"",U53*(1+$E$43)^-'FinInd+CO2'!U9,"")</f>
        <v>-5283.2424200355272</v>
      </c>
      <c r="V54" s="3">
        <f>IF(V9&lt;&gt;"",V53*(1+$E$43)^-'FinInd+CO2'!V9,"")</f>
        <v>-4789.4551941955724</v>
      </c>
      <c r="W54" s="3">
        <f>IF(W9&lt;&gt;"",W53*(1+$E$43)^-'FinInd+CO2'!W9,"")</f>
        <v>-4341.8187608080079</v>
      </c>
      <c r="X54" s="3">
        <f>IF(X9&lt;&gt;"",X53*(1+$E$43)^-'FinInd+CO2'!X9,"")</f>
        <v>-3936.0197323801517</v>
      </c>
      <c r="Y54" s="3">
        <f>IF(Y9&lt;&gt;"",Y53*(1+$E$43)^-'FinInd+CO2'!Y9,"")</f>
        <v>-3568.1478631786167</v>
      </c>
      <c r="Z54" s="3"/>
    </row>
    <row r="55" spans="1:26" x14ac:dyDescent="0.25">
      <c r="A55" s="65" t="s">
        <v>175</v>
      </c>
      <c r="B55" s="65"/>
      <c r="C55" s="65"/>
      <c r="D55" s="65"/>
      <c r="E55" s="3">
        <f>+E54</f>
        <v>-94000</v>
      </c>
      <c r="F55" s="3">
        <f>+E55+F54</f>
        <v>-128391.88849652669</v>
      </c>
      <c r="G55" s="3">
        <f t="shared" ref="G55:Y55" si="17">+F55+G54</f>
        <v>-159569.41091594598</v>
      </c>
      <c r="H55" s="3">
        <f t="shared" si="17"/>
        <v>-187832.99127477276</v>
      </c>
      <c r="I55" s="3">
        <f t="shared" si="17"/>
        <v>-213454.97508585005</v>
      </c>
      <c r="J55" s="3">
        <f t="shared" si="17"/>
        <v>-236682.25365709036</v>
      </c>
      <c r="K55" s="3">
        <f t="shared" si="17"/>
        <v>-257738.64311561274</v>
      </c>
      <c r="L55" s="3">
        <f t="shared" si="17"/>
        <v>-276827.04108135414</v>
      </c>
      <c r="M55" s="3">
        <f t="shared" si="17"/>
        <v>-294131.38177168305</v>
      </c>
      <c r="N55" s="3">
        <f t="shared" si="17"/>
        <v>-309818.40837624081</v>
      </c>
      <c r="O55" s="3">
        <f t="shared" si="17"/>
        <v>-324039.27978046803</v>
      </c>
      <c r="P55" s="3">
        <f t="shared" si="17"/>
        <v>-336931.0271200696</v>
      </c>
      <c r="Q55" s="3">
        <f t="shared" si="17"/>
        <v>-348617.87420165719</v>
      </c>
      <c r="R55" s="3">
        <f t="shared" si="17"/>
        <v>-355709.46732534911</v>
      </c>
      <c r="S55" s="3">
        <f t="shared" si="17"/>
        <v>-362138.25949899299</v>
      </c>
      <c r="T55" s="3">
        <f t="shared" si="17"/>
        <v>-367966.19803001644</v>
      </c>
      <c r="U55" s="3">
        <f t="shared" si="17"/>
        <v>-373249.44045005197</v>
      </c>
      <c r="V55" s="3">
        <f t="shared" si="17"/>
        <v>-378038.89564424753</v>
      </c>
      <c r="W55" s="3">
        <f t="shared" si="17"/>
        <v>-382380.71440505557</v>
      </c>
      <c r="X55" s="3">
        <f t="shared" si="17"/>
        <v>-386316.73413743573</v>
      </c>
      <c r="Y55" s="3">
        <f t="shared" si="17"/>
        <v>-389884.88200061437</v>
      </c>
    </row>
    <row r="56" spans="1:26" x14ac:dyDescent="0.25">
      <c r="A56" s="65" t="s">
        <v>176</v>
      </c>
      <c r="B56" s="65"/>
      <c r="C56" s="65"/>
      <c r="D56" s="65"/>
      <c r="F56" s="3">
        <f t="shared" ref="F56:Y56" si="18">IF(F9&lt;&gt;"",F21,"")</f>
        <v>29232.955776550029</v>
      </c>
      <c r="G56" s="3">
        <f t="shared" si="18"/>
        <v>29232.955776550029</v>
      </c>
      <c r="H56" s="3">
        <f t="shared" si="18"/>
        <v>29232.955776550029</v>
      </c>
      <c r="I56" s="3">
        <f t="shared" si="18"/>
        <v>29232.955776550029</v>
      </c>
      <c r="J56" s="3">
        <f t="shared" si="18"/>
        <v>29232.955776550029</v>
      </c>
      <c r="K56" s="3">
        <f t="shared" si="18"/>
        <v>29232.955776550029</v>
      </c>
      <c r="L56" s="3">
        <f t="shared" si="18"/>
        <v>29232.955776550029</v>
      </c>
      <c r="M56" s="3">
        <f t="shared" si="18"/>
        <v>29232.955776550029</v>
      </c>
      <c r="N56" s="3">
        <f t="shared" si="18"/>
        <v>29232.955776550029</v>
      </c>
      <c r="O56" s="3">
        <f t="shared" si="18"/>
        <v>29232.955776550029</v>
      </c>
      <c r="P56" s="3">
        <f t="shared" si="18"/>
        <v>29232.955776550029</v>
      </c>
      <c r="Q56" s="3">
        <f t="shared" si="18"/>
        <v>29232.955776550029</v>
      </c>
      <c r="R56" s="3">
        <f t="shared" si="18"/>
        <v>29232.955776550029</v>
      </c>
      <c r="S56" s="3">
        <f t="shared" si="18"/>
        <v>29232.955776550029</v>
      </c>
      <c r="T56" s="3">
        <f t="shared" si="18"/>
        <v>29232.955776550029</v>
      </c>
      <c r="U56" s="3">
        <f t="shared" si="18"/>
        <v>29232.955776550029</v>
      </c>
      <c r="V56" s="3">
        <f t="shared" si="18"/>
        <v>29232.955776550029</v>
      </c>
      <c r="W56" s="3">
        <f t="shared" si="18"/>
        <v>29232.955776550029</v>
      </c>
      <c r="X56" s="3">
        <f t="shared" si="18"/>
        <v>29232.955776550029</v>
      </c>
      <c r="Y56" s="3">
        <f t="shared" si="18"/>
        <v>29232.955776550029</v>
      </c>
    </row>
    <row r="57" spans="1:26" x14ac:dyDescent="0.25">
      <c r="A57" s="65" t="s">
        <v>177</v>
      </c>
      <c r="B57" s="65"/>
      <c r="C57" s="65"/>
      <c r="D57" s="65"/>
      <c r="F57" s="3">
        <f>IF(F9&lt;&gt;"",F56*(1+$E$43)^-F9,"")</f>
        <v>26500.758578620269</v>
      </c>
      <c r="G57" s="3">
        <f>IF(G9&lt;&gt;"",G56*(1+$E$43)^-G9,"")</f>
        <v>24023.920489274511</v>
      </c>
      <c r="H57" s="3">
        <f t="shared" ref="H57:Y57" si="19">IF(H9&lt;&gt;"",H56*(1+$E$43)^-H9,"")</f>
        <v>21778.574902403121</v>
      </c>
      <c r="I57" s="3">
        <f t="shared" si="19"/>
        <v>19743.085854423196</v>
      </c>
      <c r="J57" s="3">
        <f t="shared" si="19"/>
        <v>17897.839541930476</v>
      </c>
      <c r="K57" s="3">
        <f t="shared" si="19"/>
        <v>16225.055324718833</v>
      </c>
      <c r="L57" s="3">
        <f t="shared" si="19"/>
        <v>14708.614393008032</v>
      </c>
      <c r="M57" s="3">
        <f t="shared" si="19"/>
        <v>13333.904447931502</v>
      </c>
      <c r="N57" s="3">
        <f t="shared" si="19"/>
        <v>12087.678898638072</v>
      </c>
      <c r="O57" s="3">
        <f t="shared" si="19"/>
        <v>10957.9292192428</v>
      </c>
      <c r="P57" s="3">
        <f t="shared" si="19"/>
        <v>9933.7692356689076</v>
      </c>
      <c r="Q57" s="3">
        <f t="shared" si="19"/>
        <v>9005.3302273785703</v>
      </c>
      <c r="R57" s="3">
        <f t="shared" si="19"/>
        <v>8163.6658332014722</v>
      </c>
      <c r="S57" s="3">
        <f t="shared" si="19"/>
        <v>7400.6658449416373</v>
      </c>
      <c r="T57" s="3">
        <f t="shared" si="19"/>
        <v>6708.9780580848583</v>
      </c>
      <c r="U57" s="3">
        <f t="shared" si="19"/>
        <v>6081.9374265666538</v>
      </c>
      <c r="V57" s="3">
        <f t="shared" si="19"/>
        <v>5513.5018389419729</v>
      </c>
      <c r="W57" s="3">
        <f t="shared" si="19"/>
        <v>4998.1938971011487</v>
      </c>
      <c r="X57" s="3">
        <f t="shared" si="19"/>
        <v>4531.0481365166543</v>
      </c>
      <c r="Y57" s="3">
        <f t="shared" si="19"/>
        <v>4107.5631794393285</v>
      </c>
    </row>
    <row r="58" spans="1:26" x14ac:dyDescent="0.25">
      <c r="A58" s="65" t="s">
        <v>178</v>
      </c>
      <c r="B58" s="65"/>
      <c r="C58" s="65"/>
      <c r="D58" s="65"/>
      <c r="F58" s="3">
        <f>+E58+F57</f>
        <v>26500.758578620269</v>
      </c>
      <c r="G58" s="3">
        <f t="shared" ref="G58" si="20">+F58+G57</f>
        <v>50524.67906789478</v>
      </c>
      <c r="H58" s="3">
        <f t="shared" ref="H58:Y58" si="21">IF(H9&lt;&gt;"",G58+H57,"")</f>
        <v>72303.253970297897</v>
      </c>
      <c r="I58" s="3">
        <f t="shared" si="21"/>
        <v>92046.339824721101</v>
      </c>
      <c r="J58" s="3">
        <f t="shared" si="21"/>
        <v>109944.17936665157</v>
      </c>
      <c r="K58" s="3">
        <f t="shared" si="21"/>
        <v>126169.23469137041</v>
      </c>
      <c r="L58" s="3">
        <f t="shared" si="21"/>
        <v>140877.84908437845</v>
      </c>
      <c r="M58" s="3">
        <f t="shared" si="21"/>
        <v>154211.75353230996</v>
      </c>
      <c r="N58" s="3">
        <f t="shared" si="21"/>
        <v>166299.43243094804</v>
      </c>
      <c r="O58" s="3">
        <f t="shared" si="21"/>
        <v>177257.36165019084</v>
      </c>
      <c r="P58" s="3">
        <f t="shared" si="21"/>
        <v>187191.13088585975</v>
      </c>
      <c r="Q58" s="3">
        <f t="shared" si="21"/>
        <v>196196.46111323833</v>
      </c>
      <c r="R58" s="3">
        <f t="shared" si="21"/>
        <v>204360.12694643979</v>
      </c>
      <c r="S58" s="3">
        <f t="shared" si="21"/>
        <v>211760.79279138142</v>
      </c>
      <c r="T58" s="3">
        <f t="shared" si="21"/>
        <v>218469.77084946627</v>
      </c>
      <c r="U58" s="3">
        <f t="shared" si="21"/>
        <v>224551.70827603291</v>
      </c>
      <c r="V58" s="3">
        <f t="shared" si="21"/>
        <v>230065.21011497488</v>
      </c>
      <c r="W58" s="3">
        <f t="shared" si="21"/>
        <v>235063.40401207603</v>
      </c>
      <c r="X58" s="3">
        <f t="shared" si="21"/>
        <v>239594.45214859268</v>
      </c>
      <c r="Y58" s="3">
        <f t="shared" si="21"/>
        <v>243702.01532803202</v>
      </c>
    </row>
    <row r="59" spans="1:26" x14ac:dyDescent="0.25">
      <c r="A59" s="65" t="s">
        <v>179</v>
      </c>
      <c r="B59" s="65"/>
      <c r="C59" s="65"/>
      <c r="D59" s="65"/>
      <c r="F59" s="3">
        <f t="shared" ref="F59:Y59" si="22">IF(F9&lt;&gt;"",F58+F55,"")</f>
        <v>-101891.12991790642</v>
      </c>
      <c r="G59" s="3">
        <f t="shared" si="22"/>
        <v>-109044.73184805119</v>
      </c>
      <c r="H59" s="3">
        <f t="shared" si="22"/>
        <v>-115529.73730447487</v>
      </c>
      <c r="I59" s="3">
        <f t="shared" si="22"/>
        <v>-121408.63526112895</v>
      </c>
      <c r="J59" s="3">
        <f t="shared" si="22"/>
        <v>-126738.07429043879</v>
      </c>
      <c r="K59" s="3">
        <f t="shared" si="22"/>
        <v>-131569.40842424234</v>
      </c>
      <c r="L59" s="3">
        <f t="shared" si="22"/>
        <v>-135949.19199697569</v>
      </c>
      <c r="M59" s="3">
        <f t="shared" si="22"/>
        <v>-139919.62823937309</v>
      </c>
      <c r="N59" s="3">
        <f t="shared" si="22"/>
        <v>-143518.97594529277</v>
      </c>
      <c r="O59" s="3">
        <f t="shared" si="22"/>
        <v>-146781.91813027719</v>
      </c>
      <c r="P59" s="3">
        <f t="shared" si="22"/>
        <v>-149739.89623420985</v>
      </c>
      <c r="Q59" s="3">
        <f t="shared" si="22"/>
        <v>-152421.41308841886</v>
      </c>
      <c r="R59" s="3">
        <f t="shared" si="22"/>
        <v>-151349.34037890931</v>
      </c>
      <c r="S59" s="3">
        <f t="shared" si="22"/>
        <v>-150377.46670761157</v>
      </c>
      <c r="T59" s="3">
        <f t="shared" si="22"/>
        <v>-149496.42718055018</v>
      </c>
      <c r="U59" s="3">
        <f t="shared" si="22"/>
        <v>-148697.73217401907</v>
      </c>
      <c r="V59" s="3">
        <f t="shared" si="22"/>
        <v>-147973.68552927265</v>
      </c>
      <c r="W59" s="3">
        <f t="shared" si="22"/>
        <v>-147317.31039297953</v>
      </c>
      <c r="X59" s="3">
        <f t="shared" si="22"/>
        <v>-146722.28198884305</v>
      </c>
      <c r="Y59" s="3">
        <f t="shared" si="22"/>
        <v>-146182.86667258234</v>
      </c>
    </row>
    <row r="60" spans="1:26" x14ac:dyDescent="0.25">
      <c r="A60" s="40" t="s">
        <v>180</v>
      </c>
      <c r="B60" s="40"/>
      <c r="C60" s="40"/>
      <c r="D60" s="40"/>
      <c r="E60" s="37"/>
      <c r="F60" s="38">
        <f>-F53/HEAT</f>
        <v>75.875303909383248</v>
      </c>
    </row>
    <row r="62" spans="1:26" x14ac:dyDescent="0.25">
      <c r="A62" s="65" t="s">
        <v>115</v>
      </c>
      <c r="B62" s="65"/>
      <c r="C62" s="65"/>
      <c r="D62" s="65"/>
      <c r="E62" s="3">
        <f>-E55</f>
        <v>94000</v>
      </c>
      <c r="F62" s="3">
        <f t="shared" ref="F62:G62" si="23">-F55</f>
        <v>128391.88849652669</v>
      </c>
      <c r="G62" s="3">
        <f t="shared" si="23"/>
        <v>159569.41091594598</v>
      </c>
      <c r="H62" s="3">
        <f t="shared" ref="H62:Y62" si="24">IF(H9="",G62,-H55)</f>
        <v>187832.99127477276</v>
      </c>
      <c r="I62" s="3">
        <f t="shared" si="24"/>
        <v>213454.97508585005</v>
      </c>
      <c r="J62" s="3">
        <f t="shared" si="24"/>
        <v>236682.25365709036</v>
      </c>
      <c r="K62" s="3">
        <f t="shared" si="24"/>
        <v>257738.64311561274</v>
      </c>
      <c r="L62" s="3">
        <f t="shared" si="24"/>
        <v>276827.04108135414</v>
      </c>
      <c r="M62" s="3">
        <f t="shared" si="24"/>
        <v>294131.38177168305</v>
      </c>
      <c r="N62" s="3">
        <f t="shared" si="24"/>
        <v>309818.40837624081</v>
      </c>
      <c r="O62" s="3">
        <f t="shared" si="24"/>
        <v>324039.27978046803</v>
      </c>
      <c r="P62" s="3">
        <f t="shared" si="24"/>
        <v>336931.0271200696</v>
      </c>
      <c r="Q62" s="3">
        <f t="shared" si="24"/>
        <v>348617.87420165719</v>
      </c>
      <c r="R62" s="3">
        <f t="shared" si="24"/>
        <v>355709.46732534911</v>
      </c>
      <c r="S62" s="3">
        <f t="shared" si="24"/>
        <v>362138.25949899299</v>
      </c>
      <c r="T62" s="3">
        <f t="shared" si="24"/>
        <v>367966.19803001644</v>
      </c>
      <c r="U62" s="3">
        <f t="shared" si="24"/>
        <v>373249.44045005197</v>
      </c>
      <c r="V62" s="3">
        <f t="shared" si="24"/>
        <v>378038.89564424753</v>
      </c>
      <c r="W62" s="3">
        <f t="shared" si="24"/>
        <v>382380.71440505557</v>
      </c>
      <c r="X62" s="3">
        <f t="shared" si="24"/>
        <v>386316.73413743573</v>
      </c>
      <c r="Y62" s="3">
        <f t="shared" si="24"/>
        <v>389884.88200061437</v>
      </c>
    </row>
    <row r="63" spans="1:26" x14ac:dyDescent="0.25">
      <c r="A63" s="65" t="s">
        <v>116</v>
      </c>
      <c r="B63" s="65"/>
      <c r="C63" s="65"/>
      <c r="D63" s="65"/>
      <c r="F63" s="3">
        <f t="shared" ref="F63:Y63" si="25">IF(F9="",E63,F58)</f>
        <v>26500.758578620269</v>
      </c>
      <c r="G63" s="3">
        <f t="shared" si="25"/>
        <v>50524.67906789478</v>
      </c>
      <c r="H63" s="3">
        <f t="shared" si="25"/>
        <v>72303.253970297897</v>
      </c>
      <c r="I63" s="3">
        <f t="shared" si="25"/>
        <v>92046.339824721101</v>
      </c>
      <c r="J63" s="3">
        <f t="shared" si="25"/>
        <v>109944.17936665157</v>
      </c>
      <c r="K63" s="3">
        <f t="shared" si="25"/>
        <v>126169.23469137041</v>
      </c>
      <c r="L63" s="3">
        <f t="shared" si="25"/>
        <v>140877.84908437845</v>
      </c>
      <c r="M63" s="3">
        <f t="shared" si="25"/>
        <v>154211.75353230996</v>
      </c>
      <c r="N63" s="3">
        <f t="shared" si="25"/>
        <v>166299.43243094804</v>
      </c>
      <c r="O63" s="3">
        <f t="shared" si="25"/>
        <v>177257.36165019084</v>
      </c>
      <c r="P63" s="3">
        <f t="shared" si="25"/>
        <v>187191.13088585975</v>
      </c>
      <c r="Q63" s="3">
        <f t="shared" si="25"/>
        <v>196196.46111323833</v>
      </c>
      <c r="R63" s="3">
        <f t="shared" si="25"/>
        <v>204360.12694643979</v>
      </c>
      <c r="S63" s="3">
        <f t="shared" si="25"/>
        <v>211760.79279138142</v>
      </c>
      <c r="T63" s="3">
        <f t="shared" si="25"/>
        <v>218469.77084946627</v>
      </c>
      <c r="U63" s="3">
        <f t="shared" si="25"/>
        <v>224551.70827603291</v>
      </c>
      <c r="V63" s="3">
        <f t="shared" si="25"/>
        <v>230065.21011497488</v>
      </c>
      <c r="W63" s="3">
        <f t="shared" si="25"/>
        <v>235063.40401207603</v>
      </c>
      <c r="X63" s="3">
        <f t="shared" si="25"/>
        <v>239594.45214859268</v>
      </c>
      <c r="Y63" s="3">
        <f t="shared" si="25"/>
        <v>243702.01532803202</v>
      </c>
    </row>
  </sheetData>
  <sheetProtection selectLockedCells="1"/>
  <mergeCells count="39">
    <mergeCell ref="N7:O7"/>
    <mergeCell ref="A17:D17"/>
    <mergeCell ref="A15:D15"/>
    <mergeCell ref="A16:D16"/>
    <mergeCell ref="A14:D14"/>
    <mergeCell ref="A7:D7"/>
    <mergeCell ref="A9:D9"/>
    <mergeCell ref="A11:D11"/>
    <mergeCell ref="A12:D12"/>
    <mergeCell ref="A13:D13"/>
    <mergeCell ref="A63:D63"/>
    <mergeCell ref="A19:D19"/>
    <mergeCell ref="A21:D21"/>
    <mergeCell ref="A22:D22"/>
    <mergeCell ref="A24:D24"/>
    <mergeCell ref="A26:D26"/>
    <mergeCell ref="A27:D27"/>
    <mergeCell ref="A29:D29"/>
    <mergeCell ref="A31:D31"/>
    <mergeCell ref="A32:D32"/>
    <mergeCell ref="A20:D20"/>
    <mergeCell ref="A55:D55"/>
    <mergeCell ref="A56:D56"/>
    <mergeCell ref="A57:D57"/>
    <mergeCell ref="A58:D58"/>
    <mergeCell ref="A59:D59"/>
    <mergeCell ref="F3:I3"/>
    <mergeCell ref="A62:D62"/>
    <mergeCell ref="A35:D35"/>
    <mergeCell ref="A36:D36"/>
    <mergeCell ref="A37:D37"/>
    <mergeCell ref="A38:D38"/>
    <mergeCell ref="A53:D53"/>
    <mergeCell ref="A54:D54"/>
    <mergeCell ref="A18:D18"/>
    <mergeCell ref="A23:D23"/>
    <mergeCell ref="A30:D30"/>
    <mergeCell ref="I7:J7"/>
    <mergeCell ref="A28:D28"/>
  </mergeCells>
  <dataValidations count="1">
    <dataValidation allowBlank="1" showInputMessage="1" showErrorMessage="1" promptTitle="CashFlow" prompt="Ne obuhvata amortizaciju, ali obuhvata otplatu glavnice." sqref="A40"/>
  </dataValidations>
  <hyperlinks>
    <hyperlink ref="I7:J7" location="FinaIndicators!I1" display="NAZAD"/>
    <hyperlink ref="N7:O7" location="GraphFina!A1" display="DALJ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3:I12"/>
  <sheetViews>
    <sheetView workbookViewId="0">
      <selection activeCell="N4" sqref="N4"/>
    </sheetView>
  </sheetViews>
  <sheetFormatPr defaultRowHeight="15" x14ac:dyDescent="0.25"/>
  <sheetData>
    <row r="3" spans="1:9" ht="16.5" x14ac:dyDescent="0.35">
      <c r="F3" s="55" t="s">
        <v>191</v>
      </c>
      <c r="G3" s="55"/>
      <c r="H3" s="55"/>
      <c r="I3" s="55"/>
    </row>
    <row r="7" spans="1:9" ht="15" customHeight="1" x14ac:dyDescent="0.25">
      <c r="A7" s="57" t="s">
        <v>122</v>
      </c>
      <c r="B7" s="57"/>
      <c r="C7" s="57"/>
      <c r="D7" s="57"/>
    </row>
    <row r="8" spans="1:9" ht="15" customHeight="1" x14ac:dyDescent="0.25">
      <c r="A8" s="57"/>
      <c r="B8" s="57"/>
      <c r="C8" s="57"/>
      <c r="D8" s="57"/>
    </row>
    <row r="9" spans="1:9" x14ac:dyDescent="0.25">
      <c r="A9" s="57"/>
      <c r="B9" s="57"/>
      <c r="C9" s="57"/>
      <c r="D9" s="57"/>
    </row>
    <row r="11" spans="1:9" x14ac:dyDescent="0.25">
      <c r="A11" s="59" t="s">
        <v>136</v>
      </c>
      <c r="B11" s="59"/>
      <c r="C11" s="60" t="s">
        <v>137</v>
      </c>
      <c r="D11" s="60"/>
    </row>
    <row r="12" spans="1:9" x14ac:dyDescent="0.25">
      <c r="A12" s="59"/>
      <c r="B12" s="59"/>
      <c r="C12" s="60"/>
      <c r="D12" s="60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conIndicators!I1" display="NAZAD"/>
    <hyperlink ref="C11:D12" location="GraphEcon!A1" display="DALJ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19</vt:i4>
      </vt:variant>
    </vt:vector>
  </HeadingPairs>
  <TitlesOfParts>
    <vt:vector size="35" baseType="lpstr">
      <vt:lpstr>Pocetna</vt:lpstr>
      <vt:lpstr>KonvFaktor</vt:lpstr>
      <vt:lpstr>PomTab1</vt:lpstr>
      <vt:lpstr>UnosPodataka</vt:lpstr>
      <vt:lpstr>EnergyCosts</vt:lpstr>
      <vt:lpstr>Annuity</vt:lpstr>
      <vt:lpstr>FinaIndicators</vt:lpstr>
      <vt:lpstr>FinInd+CO2</vt:lpstr>
      <vt:lpstr>GraphFina</vt:lpstr>
      <vt:lpstr>Graf+CO2</vt:lpstr>
      <vt:lpstr>LCoEE</vt:lpstr>
      <vt:lpstr>Osetljivost</vt:lpstr>
      <vt:lpstr>AkoESCO</vt:lpstr>
      <vt:lpstr>ESCOGrafFina</vt:lpstr>
      <vt:lpstr>REZIME</vt:lpstr>
      <vt:lpstr>Gorivo</vt:lpstr>
      <vt:lpstr>CARBON</vt:lpstr>
      <vt:lpstr>CERT</vt:lpstr>
      <vt:lpstr>CO2Tax</vt:lpstr>
      <vt:lpstr>ECONS</vt:lpstr>
      <vt:lpstr>EPOW</vt:lpstr>
      <vt:lpstr>EPrice</vt:lpstr>
      <vt:lpstr>Equity</vt:lpstr>
      <vt:lpstr>eta</vt:lpstr>
      <vt:lpstr>etagrid</vt:lpstr>
      <vt:lpstr>HEAT</vt:lpstr>
      <vt:lpstr>HPCAP</vt:lpstr>
      <vt:lpstr>HPrice</vt:lpstr>
      <vt:lpstr>Investment</vt:lpstr>
      <vt:lpstr>LCoEE</vt:lpstr>
      <vt:lpstr>Loan</vt:lpstr>
      <vt:lpstr>PROJEKAT</vt:lpstr>
      <vt:lpstr>WCONS</vt:lpstr>
      <vt:lpstr>WHOUR</vt:lpstr>
      <vt:lpstr>WPRICE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2022-05-19T14:49:19Z</dcterms:created>
  <dcterms:modified xsi:type="dcterms:W3CDTF">2023-07-21T07:53:06Z</dcterms:modified>
</cp:coreProperties>
</file>