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2" activeTab="14"/>
  </bookViews>
  <sheets>
    <sheet name="Pocetna" sheetId="1" r:id="rId1"/>
    <sheet name="KonvFaktor" sheetId="17" r:id="rId2"/>
    <sheet name="PomTab1" sheetId="4" r:id="rId3"/>
    <sheet name="UnosPodataka" sheetId="2" r:id="rId4"/>
    <sheet name="Ustede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externalReferences>
    <externalReference r:id="rId17"/>
  </externalReference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04-2023">117.288</definedName>
    <definedName name="LCo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E17" i="17" s="1"/>
  <c r="D16" i="17"/>
  <c r="D15" i="17"/>
  <c r="D14" i="17"/>
  <c r="D13" i="17"/>
  <c r="E13" i="17" s="1"/>
  <c r="D12" i="17"/>
  <c r="E12" i="17" s="1"/>
  <c r="C18" i="17"/>
  <c r="E16" i="17"/>
  <c r="E15" i="17"/>
  <c r="E14" i="17"/>
  <c r="E18" i="17" l="1"/>
  <c r="E21" i="17" s="1"/>
  <c r="P39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E9" i="16"/>
  <c r="F16" i="2" l="1"/>
  <c r="L24" i="4"/>
  <c r="L23" i="4"/>
  <c r="K24" i="4" l="1"/>
  <c r="K22" i="4"/>
  <c r="M20" i="2"/>
  <c r="E13" i="7" l="1"/>
  <c r="E13" i="9"/>
  <c r="E11" i="16"/>
  <c r="E12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6" i="9" l="1"/>
  <c r="F25" i="9"/>
  <c r="G9" i="9"/>
  <c r="E12" i="9"/>
  <c r="F25" i="7"/>
  <c r="F24" i="7"/>
  <c r="E10" i="16" l="1"/>
  <c r="F27" i="9"/>
  <c r="F26" i="7"/>
  <c r="G26" i="9"/>
  <c r="G27" i="9"/>
  <c r="F12" i="12"/>
  <c r="H9" i="9"/>
  <c r="H27" i="9" l="1"/>
  <c r="I9" i="9"/>
  <c r="H26" i="9"/>
  <c r="G9" i="7"/>
  <c r="I27" i="9" l="1"/>
  <c r="G26" i="7"/>
  <c r="G25" i="7"/>
  <c r="G24" i="7"/>
  <c r="H9" i="7"/>
  <c r="J9" i="9"/>
  <c r="I26" i="9"/>
  <c r="E12" i="7"/>
  <c r="J27" i="9" l="1"/>
  <c r="H26" i="7"/>
  <c r="I9" i="7"/>
  <c r="H25" i="7"/>
  <c r="H24" i="7"/>
  <c r="K9" i="9"/>
  <c r="J26" i="9"/>
  <c r="AA11" i="4"/>
  <c r="AA17" i="4" s="1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AA10" i="4"/>
  <c r="Y10" i="4"/>
  <c r="W10" i="4"/>
  <c r="AA9" i="4"/>
  <c r="Y9" i="4"/>
  <c r="AA8" i="4"/>
  <c r="Y8" i="4"/>
  <c r="W8" i="4"/>
  <c r="W9" i="4"/>
  <c r="Q10" i="5"/>
  <c r="K27" i="9" l="1"/>
  <c r="I26" i="7"/>
  <c r="L9" i="9"/>
  <c r="K26" i="9"/>
  <c r="J9" i="7"/>
  <c r="I25" i="7"/>
  <c r="I24" i="7"/>
  <c r="AA18" i="4"/>
  <c r="AA19" i="4" s="1"/>
  <c r="W17" i="4"/>
  <c r="Y17" i="4"/>
  <c r="W18" i="4" l="1"/>
  <c r="W19" i="4" s="1"/>
  <c r="L27" i="9"/>
  <c r="J26" i="7"/>
  <c r="K9" i="7"/>
  <c r="J25" i="7"/>
  <c r="J24" i="7"/>
  <c r="M9" i="9"/>
  <c r="L26" i="9"/>
  <c r="J9" i="5"/>
  <c r="Y18" i="4"/>
  <c r="Y19" i="4" s="1"/>
  <c r="M27" i="9" l="1"/>
  <c r="K26" i="7"/>
  <c r="N9" i="9"/>
  <c r="M26" i="9"/>
  <c r="L9" i="7"/>
  <c r="K25" i="7"/>
  <c r="K24" i="7"/>
  <c r="J10" i="5"/>
  <c r="J11" i="5"/>
  <c r="N27" i="9" l="1"/>
  <c r="L26" i="7"/>
  <c r="M9" i="7"/>
  <c r="L25" i="7"/>
  <c r="L24" i="7"/>
  <c r="O9" i="9"/>
  <c r="N26" i="9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O27" i="9" l="1"/>
  <c r="M26" i="7"/>
  <c r="P9" i="9"/>
  <c r="O26" i="9"/>
  <c r="N9" i="7"/>
  <c r="M25" i="7"/>
  <c r="M24" i="7"/>
  <c r="G10" i="12"/>
  <c r="F24" i="2"/>
  <c r="F26" i="2" s="1"/>
  <c r="G23" i="7"/>
  <c r="B26" i="6"/>
  <c r="H24" i="9"/>
  <c r="I14" i="9"/>
  <c r="I18" i="9" s="1"/>
  <c r="G24" i="9"/>
  <c r="F14" i="9"/>
  <c r="F18" i="9" s="1"/>
  <c r="G14" i="9"/>
  <c r="G18" i="9" s="1"/>
  <c r="G14" i="7"/>
  <c r="G17" i="7"/>
  <c r="F17" i="9"/>
  <c r="H17" i="9"/>
  <c r="H14" i="9"/>
  <c r="H18" i="9" s="1"/>
  <c r="G17" i="9"/>
  <c r="F14" i="7"/>
  <c r="F16" i="12" s="1"/>
  <c r="F17" i="7"/>
  <c r="P27" i="9" l="1"/>
  <c r="N26" i="7"/>
  <c r="E13" i="16"/>
  <c r="K23" i="4"/>
  <c r="G16" i="12"/>
  <c r="G17" i="12" s="1"/>
  <c r="O9" i="7"/>
  <c r="N25" i="7"/>
  <c r="N24" i="7"/>
  <c r="Q9" i="9"/>
  <c r="P26" i="9"/>
  <c r="H10" i="12"/>
  <c r="E11" i="9"/>
  <c r="E11" i="7"/>
  <c r="E9" i="6"/>
  <c r="H17" i="7"/>
  <c r="H18" i="7" s="1"/>
  <c r="H14" i="7"/>
  <c r="F17" i="12"/>
  <c r="H23" i="7"/>
  <c r="I23" i="7"/>
  <c r="E26" i="6"/>
  <c r="B27" i="6"/>
  <c r="I14" i="7"/>
  <c r="I24" i="9"/>
  <c r="I17" i="9"/>
  <c r="I28" i="9" s="1"/>
  <c r="I17" i="7"/>
  <c r="I27" i="7" s="1"/>
  <c r="I12" i="14" s="1"/>
  <c r="I13" i="14" s="1"/>
  <c r="E25" i="6"/>
  <c r="G28" i="9"/>
  <c r="G19" i="9"/>
  <c r="F27" i="7"/>
  <c r="F12" i="14" s="1"/>
  <c r="F18" i="7"/>
  <c r="F53" i="7" s="1"/>
  <c r="H28" i="9"/>
  <c r="H19" i="9"/>
  <c r="G27" i="7"/>
  <c r="G12" i="14" s="1"/>
  <c r="G13" i="14" s="1"/>
  <c r="G18" i="7"/>
  <c r="F28" i="9"/>
  <c r="F19" i="9"/>
  <c r="H54" i="9" l="1"/>
  <c r="H55" i="9" s="1"/>
  <c r="F54" i="9"/>
  <c r="G54" i="9"/>
  <c r="G55" i="9" s="1"/>
  <c r="E31" i="9"/>
  <c r="E51" i="9"/>
  <c r="E37" i="9"/>
  <c r="Q27" i="9"/>
  <c r="E30" i="7"/>
  <c r="E50" i="7"/>
  <c r="E36" i="7"/>
  <c r="O26" i="7"/>
  <c r="K25" i="4"/>
  <c r="L25" i="4" s="1"/>
  <c r="H16" i="12"/>
  <c r="H17" i="12" s="1"/>
  <c r="H27" i="7"/>
  <c r="H12" i="14" s="1"/>
  <c r="H13" i="14" s="1"/>
  <c r="R9" i="9"/>
  <c r="Q26" i="9"/>
  <c r="P9" i="7"/>
  <c r="O25" i="7"/>
  <c r="O24" i="7"/>
  <c r="F13" i="14"/>
  <c r="I10" i="12"/>
  <c r="I19" i="9"/>
  <c r="I18" i="7"/>
  <c r="E27" i="6"/>
  <c r="B28" i="6"/>
  <c r="J23" i="7"/>
  <c r="J17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G53" i="7"/>
  <c r="H53" i="7"/>
  <c r="I16" i="12" l="1"/>
  <c r="I17" i="12" s="1"/>
  <c r="E39" i="7"/>
  <c r="F54" i="7" s="1"/>
  <c r="E40" i="9"/>
  <c r="E52" i="9" s="1"/>
  <c r="E53" i="9" s="1"/>
  <c r="E38" i="9"/>
  <c r="I54" i="9"/>
  <c r="I55" i="9" s="1"/>
  <c r="R27" i="9"/>
  <c r="E37" i="7"/>
  <c r="J53" i="7"/>
  <c r="I53" i="7"/>
  <c r="P26" i="7"/>
  <c r="S9" i="9"/>
  <c r="R22" i="9"/>
  <c r="R26" i="9"/>
  <c r="Q9" i="7"/>
  <c r="P25" i="7"/>
  <c r="P24" i="7"/>
  <c r="J10" i="12"/>
  <c r="F22" i="9"/>
  <c r="F21" i="7"/>
  <c r="J27" i="7"/>
  <c r="J12" i="14" s="1"/>
  <c r="J28" i="9"/>
  <c r="J19" i="9"/>
  <c r="E28" i="6"/>
  <c r="D28" i="6"/>
  <c r="B29" i="6"/>
  <c r="C28" i="6"/>
  <c r="K24" i="9"/>
  <c r="K14" i="9"/>
  <c r="K18" i="9" s="1"/>
  <c r="K17" i="9"/>
  <c r="K23" i="7"/>
  <c r="K17" i="7"/>
  <c r="K18" i="7" s="1"/>
  <c r="K14" i="7"/>
  <c r="C14" i="6"/>
  <c r="J54" i="7" l="1"/>
  <c r="H54" i="7"/>
  <c r="I54" i="7"/>
  <c r="E40" i="7"/>
  <c r="E41" i="7" s="1"/>
  <c r="E41" i="9"/>
  <c r="E42" i="9" s="1"/>
  <c r="F55" i="9"/>
  <c r="F56" i="9" s="1"/>
  <c r="J16" i="12"/>
  <c r="E51" i="7"/>
  <c r="E52" i="7" s="1"/>
  <c r="G54" i="7"/>
  <c r="J54" i="9"/>
  <c r="J55" i="9" s="1"/>
  <c r="S27" i="9"/>
  <c r="F29" i="9"/>
  <c r="K53" i="7"/>
  <c r="K54" i="7" s="1"/>
  <c r="Q26" i="7"/>
  <c r="F28" i="7"/>
  <c r="F50" i="7" s="1"/>
  <c r="F51" i="7" s="1"/>
  <c r="J17" i="12"/>
  <c r="R9" i="7"/>
  <c r="Q25" i="7"/>
  <c r="Q24" i="7"/>
  <c r="T9" i="9"/>
  <c r="S26" i="9"/>
  <c r="S22" i="9"/>
  <c r="J13" i="14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7" i="7"/>
  <c r="L27" i="7" s="1"/>
  <c r="L12" i="14" s="1"/>
  <c r="L13" i="14" s="1"/>
  <c r="E29" i="6"/>
  <c r="D29" i="6"/>
  <c r="C29" i="6"/>
  <c r="B30" i="6"/>
  <c r="D14" i="6"/>
  <c r="G56" i="9" l="1"/>
  <c r="F61" i="9"/>
  <c r="K16" i="12"/>
  <c r="K17" i="12" s="1"/>
  <c r="K54" i="9"/>
  <c r="K55" i="9" s="1"/>
  <c r="F32" i="9"/>
  <c r="T27" i="9"/>
  <c r="F31" i="7"/>
  <c r="R26" i="7"/>
  <c r="U9" i="9"/>
  <c r="T26" i="9"/>
  <c r="T22" i="9"/>
  <c r="S9" i="7"/>
  <c r="R21" i="7"/>
  <c r="R25" i="7"/>
  <c r="R24" i="7"/>
  <c r="L10" i="12"/>
  <c r="C15" i="6"/>
  <c r="D15" i="6" s="1"/>
  <c r="G21" i="7"/>
  <c r="G22" i="9"/>
  <c r="L18" i="7"/>
  <c r="L19" i="9"/>
  <c r="M23" i="7"/>
  <c r="M17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56" i="9" l="1"/>
  <c r="G61" i="9"/>
  <c r="F57" i="7"/>
  <c r="F52" i="7"/>
  <c r="F59" i="7" s="1"/>
  <c r="L16" i="12"/>
  <c r="L17" i="12" s="1"/>
  <c r="L54" i="9"/>
  <c r="L55" i="9" s="1"/>
  <c r="F34" i="9"/>
  <c r="F31" i="9" s="1"/>
  <c r="U27" i="9"/>
  <c r="G29" i="9"/>
  <c r="L53" i="7"/>
  <c r="L54" i="7" s="1"/>
  <c r="S26" i="7"/>
  <c r="F33" i="7"/>
  <c r="M53" i="7"/>
  <c r="M54" i="7" s="1"/>
  <c r="G28" i="7"/>
  <c r="T9" i="7"/>
  <c r="S25" i="7"/>
  <c r="S24" i="7"/>
  <c r="S21" i="7"/>
  <c r="V9" i="9"/>
  <c r="U22" i="9"/>
  <c r="U26" i="9"/>
  <c r="M10" i="12"/>
  <c r="C16" i="6"/>
  <c r="D16" i="6" s="1"/>
  <c r="H22" i="9"/>
  <c r="H21" i="7"/>
  <c r="M27" i="7"/>
  <c r="M12" i="14" s="1"/>
  <c r="N23" i="7"/>
  <c r="N17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56" i="9" l="1"/>
  <c r="H61" i="9"/>
  <c r="F30" i="7"/>
  <c r="F36" i="7" s="1"/>
  <c r="F13" i="12"/>
  <c r="F14" i="12" s="1"/>
  <c r="M16" i="12"/>
  <c r="M54" i="9"/>
  <c r="M55" i="9" s="1"/>
  <c r="F51" i="9"/>
  <c r="F37" i="9"/>
  <c r="F35" i="9"/>
  <c r="G32" i="9"/>
  <c r="V27" i="9"/>
  <c r="H29" i="9"/>
  <c r="F55" i="7"/>
  <c r="F60" i="7" s="1"/>
  <c r="G31" i="7"/>
  <c r="F34" i="7"/>
  <c r="T26" i="7"/>
  <c r="G50" i="7"/>
  <c r="G51" i="7" s="1"/>
  <c r="G52" i="7" s="1"/>
  <c r="H28" i="7"/>
  <c r="M17" i="12"/>
  <c r="W9" i="9"/>
  <c r="V26" i="9"/>
  <c r="V22" i="9"/>
  <c r="U9" i="7"/>
  <c r="T21" i="7"/>
  <c r="T25" i="7"/>
  <c r="T24" i="7"/>
  <c r="M13" i="14"/>
  <c r="N10" i="12"/>
  <c r="C17" i="6"/>
  <c r="D17" i="6" s="1"/>
  <c r="I22" i="9"/>
  <c r="I21" i="7"/>
  <c r="N18" i="7"/>
  <c r="N19" i="9"/>
  <c r="O23" i="7"/>
  <c r="O17" i="7"/>
  <c r="O18" i="7" s="1"/>
  <c r="O14" i="7"/>
  <c r="O24" i="9"/>
  <c r="O17" i="9"/>
  <c r="O28" i="9" s="1"/>
  <c r="O14" i="9"/>
  <c r="O18" i="9" s="1"/>
  <c r="O25" i="9"/>
  <c r="E32" i="6"/>
  <c r="D32" i="6"/>
  <c r="C32" i="6"/>
  <c r="J56" i="9" l="1"/>
  <c r="I61" i="9"/>
  <c r="N16" i="12"/>
  <c r="N17" i="12" s="1"/>
  <c r="F58" i="9"/>
  <c r="F52" i="9"/>
  <c r="F53" i="9" s="1"/>
  <c r="F41" i="9"/>
  <c r="F42" i="9" s="1"/>
  <c r="F38" i="9"/>
  <c r="N54" i="9"/>
  <c r="N55" i="9" s="1"/>
  <c r="F56" i="7"/>
  <c r="G34" i="9"/>
  <c r="G31" i="9" s="1"/>
  <c r="H32" i="9"/>
  <c r="W27" i="9"/>
  <c r="I29" i="9"/>
  <c r="G55" i="7"/>
  <c r="H55" i="7" s="1"/>
  <c r="F37" i="7"/>
  <c r="F40" i="7"/>
  <c r="F41" i="7" s="1"/>
  <c r="H31" i="7"/>
  <c r="H50" i="7"/>
  <c r="H51" i="7" s="1"/>
  <c r="H52" i="7" s="1"/>
  <c r="N53" i="7"/>
  <c r="N54" i="7" s="1"/>
  <c r="G33" i="7"/>
  <c r="O53" i="7"/>
  <c r="O54" i="7" s="1"/>
  <c r="U26" i="7"/>
  <c r="I28" i="7"/>
  <c r="V9" i="7"/>
  <c r="U25" i="7"/>
  <c r="U24" i="7"/>
  <c r="U21" i="7"/>
  <c r="X9" i="9"/>
  <c r="W26" i="9"/>
  <c r="W22" i="9"/>
  <c r="O10" i="12"/>
  <c r="C18" i="6"/>
  <c r="D18" i="6" s="1"/>
  <c r="J22" i="9"/>
  <c r="J21" i="7"/>
  <c r="O27" i="7"/>
  <c r="O12" i="14" s="1"/>
  <c r="P14" i="7"/>
  <c r="P23" i="7"/>
  <c r="P17" i="7"/>
  <c r="P27" i="7" s="1"/>
  <c r="P12" i="14" s="1"/>
  <c r="P13" i="14" s="1"/>
  <c r="O19" i="9"/>
  <c r="P24" i="9"/>
  <c r="P17" i="9"/>
  <c r="P14" i="9"/>
  <c r="P18" i="9" s="1"/>
  <c r="P25" i="9"/>
  <c r="K56" i="9" l="1"/>
  <c r="J61" i="9"/>
  <c r="O16" i="12"/>
  <c r="O17" i="12" s="1"/>
  <c r="G30" i="7"/>
  <c r="G36" i="7" s="1"/>
  <c r="G40" i="7" s="1"/>
  <c r="G41" i="7" s="1"/>
  <c r="G13" i="12"/>
  <c r="G14" i="12" s="1"/>
  <c r="F57" i="9"/>
  <c r="F60" i="9"/>
  <c r="G51" i="9"/>
  <c r="G52" i="9" s="1"/>
  <c r="G53" i="9" s="1"/>
  <c r="G37" i="9"/>
  <c r="G38" i="9" s="1"/>
  <c r="O54" i="9"/>
  <c r="O55" i="9" s="1"/>
  <c r="G60" i="7"/>
  <c r="G35" i="9"/>
  <c r="H34" i="9"/>
  <c r="H31" i="9" s="1"/>
  <c r="I32" i="9"/>
  <c r="X27" i="9"/>
  <c r="J29" i="9"/>
  <c r="G59" i="7"/>
  <c r="G56" i="7"/>
  <c r="H59" i="7"/>
  <c r="H60" i="7"/>
  <c r="I55" i="7"/>
  <c r="I31" i="7"/>
  <c r="G34" i="7"/>
  <c r="H33" i="7"/>
  <c r="V26" i="7"/>
  <c r="I50" i="7"/>
  <c r="I51" i="7" s="1"/>
  <c r="I52" i="7" s="1"/>
  <c r="J28" i="7"/>
  <c r="Y9" i="9"/>
  <c r="X22" i="9"/>
  <c r="X26" i="9"/>
  <c r="W9" i="7"/>
  <c r="V21" i="7"/>
  <c r="V25" i="7"/>
  <c r="V24" i="7"/>
  <c r="O13" i="14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7" i="7"/>
  <c r="Q27" i="7" s="1"/>
  <c r="Q12" i="14" s="1"/>
  <c r="Q13" i="14" s="1"/>
  <c r="G37" i="7" l="1"/>
  <c r="L56" i="9"/>
  <c r="K61" i="9"/>
  <c r="H30" i="7"/>
  <c r="H36" i="7" s="1"/>
  <c r="H40" i="7" s="1"/>
  <c r="H41" i="7" s="1"/>
  <c r="H13" i="12"/>
  <c r="H14" i="12" s="1"/>
  <c r="P16" i="12"/>
  <c r="P17" i="12" s="1"/>
  <c r="P54" i="9"/>
  <c r="P55" i="9" s="1"/>
  <c r="G41" i="9"/>
  <c r="G42" i="9" s="1"/>
  <c r="H51" i="9"/>
  <c r="H52" i="9" s="1"/>
  <c r="H53" i="9" s="1"/>
  <c r="H37" i="9"/>
  <c r="H41" i="9" s="1"/>
  <c r="G57" i="9"/>
  <c r="G60" i="9"/>
  <c r="I34" i="9"/>
  <c r="I31" i="9" s="1"/>
  <c r="H35" i="9"/>
  <c r="J32" i="9"/>
  <c r="Y27" i="9"/>
  <c r="K29" i="9"/>
  <c r="H56" i="7"/>
  <c r="I59" i="7"/>
  <c r="J55" i="7"/>
  <c r="I60" i="7"/>
  <c r="H34" i="7"/>
  <c r="J31" i="7"/>
  <c r="W26" i="7"/>
  <c r="I33" i="7"/>
  <c r="P53" i="7"/>
  <c r="P54" i="7" s="1"/>
  <c r="K28" i="7"/>
  <c r="J50" i="7"/>
  <c r="J51" i="7" s="1"/>
  <c r="J52" i="7" s="1"/>
  <c r="X9" i="7"/>
  <c r="W25" i="7"/>
  <c r="W24" i="7"/>
  <c r="W21" i="7"/>
  <c r="Y22" i="9"/>
  <c r="Y26" i="9"/>
  <c r="Q10" i="12"/>
  <c r="L22" i="9"/>
  <c r="L21" i="7"/>
  <c r="Q19" i="9"/>
  <c r="Q28" i="9"/>
  <c r="R17" i="7"/>
  <c r="R18" i="7" s="1"/>
  <c r="R23" i="7"/>
  <c r="R14" i="7"/>
  <c r="R17" i="9"/>
  <c r="R28" i="9" s="1"/>
  <c r="R14" i="9"/>
  <c r="R25" i="9"/>
  <c r="R24" i="9"/>
  <c r="Q18" i="7"/>
  <c r="C20" i="6"/>
  <c r="M56" i="9" l="1"/>
  <c r="L61" i="9"/>
  <c r="Q16" i="12"/>
  <c r="Q17" i="12" s="1"/>
  <c r="I30" i="7"/>
  <c r="I36" i="7" s="1"/>
  <c r="I40" i="7" s="1"/>
  <c r="I41" i="7" s="1"/>
  <c r="I13" i="12"/>
  <c r="I14" i="12" s="1"/>
  <c r="H37" i="7"/>
  <c r="H38" i="9"/>
  <c r="H60" i="9"/>
  <c r="H57" i="9"/>
  <c r="H42" i="9"/>
  <c r="I51" i="9"/>
  <c r="I52" i="9" s="1"/>
  <c r="I53" i="9" s="1"/>
  <c r="I37" i="9"/>
  <c r="I41" i="9" s="1"/>
  <c r="Q54" i="9"/>
  <c r="Q55" i="9" s="1"/>
  <c r="I56" i="7"/>
  <c r="J34" i="9"/>
  <c r="J31" i="9" s="1"/>
  <c r="I35" i="9"/>
  <c r="K32" i="9"/>
  <c r="L29" i="9"/>
  <c r="K55" i="7"/>
  <c r="J60" i="7"/>
  <c r="I34" i="7"/>
  <c r="X26" i="7"/>
  <c r="J33" i="7"/>
  <c r="Q53" i="7"/>
  <c r="Q54" i="7" s="1"/>
  <c r="K31" i="7"/>
  <c r="K50" i="7"/>
  <c r="K51" i="7" s="1"/>
  <c r="K52" i="7" s="1"/>
  <c r="L28" i="7"/>
  <c r="Y9" i="7"/>
  <c r="X25" i="7"/>
  <c r="X24" i="7"/>
  <c r="X21" i="7"/>
  <c r="R29" i="9"/>
  <c r="R18" i="9"/>
  <c r="R19" i="9" s="1"/>
  <c r="R10" i="12"/>
  <c r="R27" i="7"/>
  <c r="R53" i="7"/>
  <c r="R54" i="7" s="1"/>
  <c r="S23" i="7"/>
  <c r="S17" i="7"/>
  <c r="S18" i="7" s="1"/>
  <c r="S14" i="7"/>
  <c r="S25" i="9"/>
  <c r="S24" i="9"/>
  <c r="S17" i="9"/>
  <c r="S28" i="9" s="1"/>
  <c r="S14" i="9"/>
  <c r="S18" i="9" s="1"/>
  <c r="D20" i="6"/>
  <c r="I38" i="9" l="1"/>
  <c r="N56" i="9"/>
  <c r="M61" i="9"/>
  <c r="R16" i="12"/>
  <c r="R17" i="12" s="1"/>
  <c r="J30" i="7"/>
  <c r="J36" i="7" s="1"/>
  <c r="J40" i="7" s="1"/>
  <c r="J41" i="7" s="1"/>
  <c r="J13" i="12"/>
  <c r="J14" i="12" s="1"/>
  <c r="I37" i="7"/>
  <c r="I42" i="9"/>
  <c r="R54" i="9"/>
  <c r="R55" i="9" s="1"/>
  <c r="J51" i="9"/>
  <c r="J52" i="9" s="1"/>
  <c r="J53" i="9" s="1"/>
  <c r="J37" i="9"/>
  <c r="I57" i="9"/>
  <c r="I60" i="9"/>
  <c r="J35" i="9"/>
  <c r="K34" i="9"/>
  <c r="K31" i="9" s="1"/>
  <c r="L32" i="9"/>
  <c r="R32" i="9"/>
  <c r="J56" i="7"/>
  <c r="J59" i="7"/>
  <c r="L55" i="7"/>
  <c r="K60" i="7"/>
  <c r="L31" i="7"/>
  <c r="K33" i="7"/>
  <c r="J34" i="7"/>
  <c r="Y26" i="7"/>
  <c r="L50" i="7"/>
  <c r="L51" i="7" s="1"/>
  <c r="L52" i="7" s="1"/>
  <c r="Y25" i="7"/>
  <c r="Y24" i="7"/>
  <c r="Y21" i="7"/>
  <c r="R28" i="7"/>
  <c r="R12" i="14"/>
  <c r="R13" i="14" s="1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7" i="7"/>
  <c r="T18" i="7" s="1"/>
  <c r="T14" i="7"/>
  <c r="J38" i="9" l="1"/>
  <c r="J37" i="7"/>
  <c r="O56" i="9"/>
  <c r="N61" i="9"/>
  <c r="K30" i="7"/>
  <c r="K36" i="7" s="1"/>
  <c r="K40" i="7" s="1"/>
  <c r="K41" i="7" s="1"/>
  <c r="K13" i="12"/>
  <c r="K14" i="12" s="1"/>
  <c r="S16" i="12"/>
  <c r="S32" i="9"/>
  <c r="S34" i="9" s="1"/>
  <c r="S31" i="9" s="1"/>
  <c r="S51" i="9" s="1"/>
  <c r="S52" i="9" s="1"/>
  <c r="S54" i="9"/>
  <c r="S55" i="9" s="1"/>
  <c r="J57" i="9"/>
  <c r="J60" i="9"/>
  <c r="K51" i="9"/>
  <c r="K52" i="9" s="1"/>
  <c r="K53" i="9" s="1"/>
  <c r="K37" i="9"/>
  <c r="K41" i="9" s="1"/>
  <c r="J41" i="9"/>
  <c r="J42" i="9" s="1"/>
  <c r="K35" i="9"/>
  <c r="L34" i="9"/>
  <c r="L31" i="9" s="1"/>
  <c r="R34" i="9"/>
  <c r="R31" i="9" s="1"/>
  <c r="M29" i="9"/>
  <c r="K56" i="7"/>
  <c r="K59" i="7"/>
  <c r="M55" i="7"/>
  <c r="L60" i="7"/>
  <c r="K34" i="7"/>
  <c r="R31" i="7"/>
  <c r="L33" i="7"/>
  <c r="M28" i="7"/>
  <c r="T27" i="7"/>
  <c r="T28" i="7" s="1"/>
  <c r="S28" i="7"/>
  <c r="S12" i="14"/>
  <c r="S13" i="14" s="1"/>
  <c r="T29" i="9"/>
  <c r="T10" i="12"/>
  <c r="S17" i="12"/>
  <c r="C22" i="6"/>
  <c r="D22" i="6" s="1"/>
  <c r="N22" i="9"/>
  <c r="N21" i="7"/>
  <c r="T19" i="9"/>
  <c r="U23" i="7"/>
  <c r="U17" i="7"/>
  <c r="U27" i="7" s="1"/>
  <c r="U14" i="7"/>
  <c r="T53" i="7"/>
  <c r="T54" i="7" s="1"/>
  <c r="U25" i="9"/>
  <c r="U24" i="9"/>
  <c r="U14" i="9"/>
  <c r="U18" i="9" s="1"/>
  <c r="U17" i="9"/>
  <c r="U28" i="9" s="1"/>
  <c r="P56" i="9" l="1"/>
  <c r="O61" i="9"/>
  <c r="T16" i="12"/>
  <c r="T17" i="12" s="1"/>
  <c r="L30" i="7"/>
  <c r="L36" i="7" s="1"/>
  <c r="L40" i="7" s="1"/>
  <c r="L41" i="7" s="1"/>
  <c r="L13" i="12"/>
  <c r="L14" i="12" s="1"/>
  <c r="K38" i="9"/>
  <c r="K37" i="7"/>
  <c r="T54" i="9"/>
  <c r="T55" i="9" s="1"/>
  <c r="L51" i="9"/>
  <c r="L52" i="9" s="1"/>
  <c r="L53" i="9" s="1"/>
  <c r="L37" i="9"/>
  <c r="L41" i="9" s="1"/>
  <c r="K42" i="9"/>
  <c r="R51" i="9"/>
  <c r="R52" i="9" s="1"/>
  <c r="R37" i="9"/>
  <c r="R41" i="9" s="1"/>
  <c r="S37" i="9"/>
  <c r="S41" i="9" s="1"/>
  <c r="K60" i="9"/>
  <c r="K57" i="9"/>
  <c r="S35" i="9"/>
  <c r="T32" i="9"/>
  <c r="R35" i="9"/>
  <c r="L35" i="9"/>
  <c r="M32" i="9"/>
  <c r="N29" i="9"/>
  <c r="L59" i="7"/>
  <c r="L56" i="7"/>
  <c r="T31" i="7"/>
  <c r="T33" i="7" s="1"/>
  <c r="T13" i="12" s="1"/>
  <c r="M60" i="7"/>
  <c r="N55" i="7"/>
  <c r="M31" i="7"/>
  <c r="S31" i="7"/>
  <c r="L34" i="7"/>
  <c r="R33" i="7"/>
  <c r="M50" i="7"/>
  <c r="M51" i="7" s="1"/>
  <c r="M52" i="7" s="1"/>
  <c r="N28" i="7"/>
  <c r="T12" i="14"/>
  <c r="T13" i="14" s="1"/>
  <c r="U28" i="7"/>
  <c r="U12" i="14"/>
  <c r="U13" i="14" s="1"/>
  <c r="U19" i="9"/>
  <c r="U29" i="9"/>
  <c r="U18" i="7"/>
  <c r="U10" i="12"/>
  <c r="O22" i="9"/>
  <c r="O21" i="7"/>
  <c r="V25" i="9"/>
  <c r="V24" i="9"/>
  <c r="V17" i="9"/>
  <c r="V28" i="9" s="1"/>
  <c r="V14" i="9"/>
  <c r="V18" i="9" s="1"/>
  <c r="V23" i="7"/>
  <c r="V17" i="7"/>
  <c r="V27" i="7" s="1"/>
  <c r="V14" i="7"/>
  <c r="C23" i="6"/>
  <c r="L37" i="7" l="1"/>
  <c r="Q56" i="9"/>
  <c r="P61" i="9"/>
  <c r="U16" i="12"/>
  <c r="U17" i="12" s="1"/>
  <c r="R30" i="7"/>
  <c r="R36" i="7" s="1"/>
  <c r="R40" i="7" s="1"/>
  <c r="R13" i="12"/>
  <c r="L57" i="9"/>
  <c r="L60" i="9"/>
  <c r="L42" i="9"/>
  <c r="L38" i="9"/>
  <c r="U54" i="9"/>
  <c r="U55" i="9" s="1"/>
  <c r="M34" i="9"/>
  <c r="M31" i="9" s="1"/>
  <c r="T34" i="9"/>
  <c r="T31" i="9" s="1"/>
  <c r="N32" i="9"/>
  <c r="O29" i="9"/>
  <c r="U32" i="9"/>
  <c r="T34" i="7"/>
  <c r="T30" i="7"/>
  <c r="T36" i="7" s="1"/>
  <c r="T40" i="7" s="1"/>
  <c r="U31" i="7"/>
  <c r="U33" i="7" s="1"/>
  <c r="U30" i="7" s="1"/>
  <c r="U36" i="7" s="1"/>
  <c r="U40" i="7" s="1"/>
  <c r="O55" i="7"/>
  <c r="N60" i="7"/>
  <c r="R34" i="7"/>
  <c r="N31" i="7"/>
  <c r="S33" i="7"/>
  <c r="U50" i="7"/>
  <c r="U51" i="7" s="1"/>
  <c r="M33" i="7"/>
  <c r="O28" i="7"/>
  <c r="N50" i="7"/>
  <c r="N51" i="7" s="1"/>
  <c r="N52" i="7" s="1"/>
  <c r="U53" i="7"/>
  <c r="U54" i="7" s="1"/>
  <c r="V19" i="9"/>
  <c r="V28" i="7"/>
  <c r="V12" i="14"/>
  <c r="V13" i="14" s="1"/>
  <c r="V18" i="7"/>
  <c r="V29" i="9"/>
  <c r="V10" i="12"/>
  <c r="W25" i="9"/>
  <c r="W24" i="9"/>
  <c r="W17" i="9"/>
  <c r="W28" i="9" s="1"/>
  <c r="W14" i="9"/>
  <c r="W18" i="9" s="1"/>
  <c r="W17" i="7"/>
  <c r="W18" i="7" s="1"/>
  <c r="W14" i="7"/>
  <c r="W23" i="7"/>
  <c r="D23" i="6"/>
  <c r="R56" i="9" l="1"/>
  <c r="S56" i="9" s="1"/>
  <c r="Q61" i="9"/>
  <c r="U13" i="12"/>
  <c r="U14" i="12" s="1"/>
  <c r="V16" i="12"/>
  <c r="V17" i="12" s="1"/>
  <c r="S30" i="7"/>
  <c r="S36" i="7" s="1"/>
  <c r="S40" i="7" s="1"/>
  <c r="S13" i="12"/>
  <c r="M30" i="7"/>
  <c r="M36" i="7" s="1"/>
  <c r="M40" i="7" s="1"/>
  <c r="M41" i="7" s="1"/>
  <c r="M13" i="12"/>
  <c r="M14" i="12" s="1"/>
  <c r="V54" i="9"/>
  <c r="V55" i="9" s="1"/>
  <c r="M51" i="9"/>
  <c r="M52" i="9" s="1"/>
  <c r="M53" i="9" s="1"/>
  <c r="M37" i="9"/>
  <c r="M41" i="9" s="1"/>
  <c r="M42" i="9" s="1"/>
  <c r="T51" i="9"/>
  <c r="T52" i="9" s="1"/>
  <c r="T37" i="9"/>
  <c r="T41" i="9" s="1"/>
  <c r="T35" i="9"/>
  <c r="U34" i="9"/>
  <c r="U31" i="9" s="1"/>
  <c r="N34" i="9"/>
  <c r="N31" i="9" s="1"/>
  <c r="M35" i="9"/>
  <c r="O32" i="9"/>
  <c r="V32" i="9"/>
  <c r="M59" i="7"/>
  <c r="M56" i="7"/>
  <c r="O60" i="7"/>
  <c r="P55" i="7"/>
  <c r="N33" i="7"/>
  <c r="M34" i="7"/>
  <c r="U34" i="7"/>
  <c r="V53" i="7"/>
  <c r="V54" i="7" s="1"/>
  <c r="V31" i="7"/>
  <c r="O31" i="7"/>
  <c r="S34" i="7"/>
  <c r="O50" i="7"/>
  <c r="O51" i="7" s="1"/>
  <c r="O52" i="7" s="1"/>
  <c r="V50" i="7"/>
  <c r="V51" i="7" s="1"/>
  <c r="W19" i="9"/>
  <c r="W29" i="9"/>
  <c r="W10" i="12"/>
  <c r="C24" i="6"/>
  <c r="D24" i="6" s="1"/>
  <c r="P22" i="9"/>
  <c r="P21" i="7"/>
  <c r="W53" i="7"/>
  <c r="W54" i="7" s="1"/>
  <c r="W27" i="7"/>
  <c r="X23" i="7"/>
  <c r="X17" i="7"/>
  <c r="X27" i="7" s="1"/>
  <c r="X14" i="7"/>
  <c r="X25" i="9"/>
  <c r="X24" i="9"/>
  <c r="X17" i="9"/>
  <c r="X28" i="9" s="1"/>
  <c r="X14" i="9"/>
  <c r="X18" i="9" s="1"/>
  <c r="R61" i="9" l="1"/>
  <c r="M37" i="7"/>
  <c r="T56" i="9"/>
  <c r="S61" i="9"/>
  <c r="W16" i="12"/>
  <c r="M38" i="9"/>
  <c r="N30" i="7"/>
  <c r="N36" i="7" s="1"/>
  <c r="N40" i="7" s="1"/>
  <c r="N41" i="7" s="1"/>
  <c r="N13" i="12"/>
  <c r="N14" i="12" s="1"/>
  <c r="U51" i="9"/>
  <c r="U52" i="9" s="1"/>
  <c r="U37" i="9"/>
  <c r="U41" i="9" s="1"/>
  <c r="W54" i="9"/>
  <c r="W55" i="9" s="1"/>
  <c r="N51" i="9"/>
  <c r="N52" i="9" s="1"/>
  <c r="N53" i="9" s="1"/>
  <c r="N37" i="9"/>
  <c r="N41" i="9" s="1"/>
  <c r="N42" i="9" s="1"/>
  <c r="M60" i="9"/>
  <c r="M57" i="9"/>
  <c r="N35" i="9"/>
  <c r="O34" i="9"/>
  <c r="O31" i="9" s="1"/>
  <c r="V34" i="9"/>
  <c r="V31" i="9" s="1"/>
  <c r="U35" i="9"/>
  <c r="P29" i="9"/>
  <c r="W32" i="9"/>
  <c r="N56" i="7"/>
  <c r="N59" i="7"/>
  <c r="O56" i="7"/>
  <c r="P60" i="7"/>
  <c r="Q55" i="7"/>
  <c r="V33" i="7"/>
  <c r="O33" i="7"/>
  <c r="N34" i="7"/>
  <c r="P28" i="7"/>
  <c r="X18" i="7"/>
  <c r="W28" i="7"/>
  <c r="W12" i="14"/>
  <c r="W13" i="14" s="1"/>
  <c r="X28" i="7"/>
  <c r="X12" i="14"/>
  <c r="X13" i="14" s="1"/>
  <c r="X19" i="9"/>
  <c r="X29" i="9"/>
  <c r="X10" i="12"/>
  <c r="W17" i="12"/>
  <c r="C25" i="6"/>
  <c r="Q22" i="9"/>
  <c r="Q21" i="7"/>
  <c r="D25" i="6"/>
  <c r="C26" i="6" s="1"/>
  <c r="Y17" i="9"/>
  <c r="Y28" i="9" s="1"/>
  <c r="Y14" i="9"/>
  <c r="Y18" i="9" s="1"/>
  <c r="Y24" i="9"/>
  <c r="Y25" i="9"/>
  <c r="Y23" i="7"/>
  <c r="Y17" i="7"/>
  <c r="Y27" i="7" s="1"/>
  <c r="Y12" i="14" s="1"/>
  <c r="Y14" i="7"/>
  <c r="N37" i="7" l="1"/>
  <c r="U56" i="9"/>
  <c r="T61" i="9"/>
  <c r="O30" i="7"/>
  <c r="O36" i="7" s="1"/>
  <c r="O40" i="7" s="1"/>
  <c r="O41" i="7" s="1"/>
  <c r="O13" i="12"/>
  <c r="O14" i="12" s="1"/>
  <c r="X16" i="12"/>
  <c r="V30" i="7"/>
  <c r="V36" i="7" s="1"/>
  <c r="V40" i="7" s="1"/>
  <c r="V13" i="12"/>
  <c r="V14" i="12" s="1"/>
  <c r="N60" i="9"/>
  <c r="N57" i="9"/>
  <c r="O51" i="9"/>
  <c r="O52" i="9" s="1"/>
  <c r="O53" i="9" s="1"/>
  <c r="O37" i="9"/>
  <c r="O41" i="9" s="1"/>
  <c r="O42" i="9" s="1"/>
  <c r="X54" i="9"/>
  <c r="X55" i="9" s="1"/>
  <c r="V51" i="9"/>
  <c r="V52" i="9" s="1"/>
  <c r="V37" i="9"/>
  <c r="V41" i="9" s="1"/>
  <c r="N38" i="9"/>
  <c r="V35" i="9"/>
  <c r="W34" i="9"/>
  <c r="W31" i="9" s="1"/>
  <c r="O35" i="9"/>
  <c r="P32" i="9"/>
  <c r="Q29" i="9"/>
  <c r="X32" i="9"/>
  <c r="O59" i="7"/>
  <c r="R55" i="7"/>
  <c r="S55" i="7" s="1"/>
  <c r="Q60" i="7"/>
  <c r="V34" i="7"/>
  <c r="X53" i="7"/>
  <c r="X54" i="7" s="1"/>
  <c r="X31" i="7"/>
  <c r="X50" i="7"/>
  <c r="X51" i="7" s="1"/>
  <c r="O34" i="7"/>
  <c r="P31" i="7"/>
  <c r="W31" i="7"/>
  <c r="P50" i="7"/>
  <c r="P51" i="7" s="1"/>
  <c r="P52" i="7" s="1"/>
  <c r="Q28" i="7"/>
  <c r="W50" i="7"/>
  <c r="W51" i="7" s="1"/>
  <c r="Y29" i="9"/>
  <c r="Y13" i="14"/>
  <c r="E15" i="14"/>
  <c r="Y19" i="9"/>
  <c r="Y10" i="12"/>
  <c r="X17" i="12"/>
  <c r="Y28" i="7"/>
  <c r="Y18" i="7"/>
  <c r="D26" i="6"/>
  <c r="C27" i="6"/>
  <c r="D27" i="6" s="1"/>
  <c r="O38" i="9" l="1"/>
  <c r="U61" i="9"/>
  <c r="V56" i="9"/>
  <c r="Y16" i="12"/>
  <c r="Y17" i="12" s="1"/>
  <c r="O37" i="7"/>
  <c r="O60" i="9"/>
  <c r="O57" i="9"/>
  <c r="Y54" i="9"/>
  <c r="Y55" i="9" s="1"/>
  <c r="W51" i="9"/>
  <c r="W52" i="9" s="1"/>
  <c r="W37" i="9"/>
  <c r="W41" i="9" s="1"/>
  <c r="X34" i="9"/>
  <c r="X31" i="9" s="1"/>
  <c r="W35" i="9"/>
  <c r="P34" i="9"/>
  <c r="P31" i="9" s="1"/>
  <c r="Q32" i="9"/>
  <c r="Y32" i="9"/>
  <c r="R60" i="7"/>
  <c r="T55" i="7"/>
  <c r="S60" i="7"/>
  <c r="Q31" i="7"/>
  <c r="P33" i="7"/>
  <c r="W33" i="7"/>
  <c r="X33" i="7"/>
  <c r="Y31" i="7"/>
  <c r="Q50" i="7"/>
  <c r="Q51" i="7" s="1"/>
  <c r="Q52" i="7" s="1"/>
  <c r="Y50" i="7"/>
  <c r="Y51" i="7" s="1"/>
  <c r="Y53" i="7"/>
  <c r="Y54" i="7" s="1"/>
  <c r="R14" i="12"/>
  <c r="R50" i="7"/>
  <c r="R51" i="7" s="1"/>
  <c r="R52" i="7" l="1"/>
  <c r="V61" i="9"/>
  <c r="W56" i="9"/>
  <c r="W30" i="7"/>
  <c r="W36" i="7" s="1"/>
  <c r="W40" i="7" s="1"/>
  <c r="W13" i="12"/>
  <c r="W14" i="12" s="1"/>
  <c r="P30" i="7"/>
  <c r="P36" i="7" s="1"/>
  <c r="P40" i="7" s="1"/>
  <c r="P41" i="7" s="1"/>
  <c r="P13" i="12"/>
  <c r="P14" i="12" s="1"/>
  <c r="X30" i="7"/>
  <c r="X36" i="7" s="1"/>
  <c r="X40" i="7" s="1"/>
  <c r="X13" i="12"/>
  <c r="X14" i="12" s="1"/>
  <c r="X51" i="9"/>
  <c r="X52" i="9" s="1"/>
  <c r="X37" i="9"/>
  <c r="X41" i="9" s="1"/>
  <c r="P51" i="9"/>
  <c r="P52" i="9" s="1"/>
  <c r="P53" i="9" s="1"/>
  <c r="P37" i="9"/>
  <c r="P35" i="9"/>
  <c r="Q34" i="9"/>
  <c r="Q31" i="9" s="1"/>
  <c r="Y34" i="9"/>
  <c r="Y31" i="9" s="1"/>
  <c r="X35" i="9"/>
  <c r="P59" i="7"/>
  <c r="P56" i="7"/>
  <c r="P37" i="7"/>
  <c r="T60" i="7"/>
  <c r="U55" i="7"/>
  <c r="V55" i="7" s="1"/>
  <c r="X34" i="7"/>
  <c r="Q33" i="7"/>
  <c r="W34" i="7"/>
  <c r="Y33" i="7"/>
  <c r="P34" i="7"/>
  <c r="T14" i="12"/>
  <c r="T50" i="7"/>
  <c r="T51" i="7" s="1"/>
  <c r="S14" i="12"/>
  <c r="S50" i="7"/>
  <c r="S51" i="7" s="1"/>
  <c r="S52" i="7" l="1"/>
  <c r="T52" i="7" s="1"/>
  <c r="U52" i="7" s="1"/>
  <c r="V52" i="7" s="1"/>
  <c r="W52" i="7" s="1"/>
  <c r="X52" i="7" s="1"/>
  <c r="Y52" i="7" s="1"/>
  <c r="W61" i="9"/>
  <c r="X56" i="9"/>
  <c r="Q30" i="7"/>
  <c r="Q36" i="7" s="1"/>
  <c r="Q40" i="7" s="1"/>
  <c r="Q41" i="7" s="1"/>
  <c r="R41" i="7" s="1"/>
  <c r="S41" i="7" s="1"/>
  <c r="T41" i="7" s="1"/>
  <c r="U41" i="7" s="1"/>
  <c r="V41" i="7" s="1"/>
  <c r="W41" i="7" s="1"/>
  <c r="X41" i="7" s="1"/>
  <c r="Q13" i="12"/>
  <c r="Q14" i="12" s="1"/>
  <c r="Y30" i="7"/>
  <c r="Y13" i="12"/>
  <c r="Y14" i="12" s="1"/>
  <c r="P41" i="9"/>
  <c r="P42" i="9" s="1"/>
  <c r="P38" i="9"/>
  <c r="P60" i="9"/>
  <c r="P57" i="9"/>
  <c r="E46" i="9" a="1"/>
  <c r="E46" i="9" s="1"/>
  <c r="Y51" i="9"/>
  <c r="Y52" i="9" s="1"/>
  <c r="Y37" i="9"/>
  <c r="Q51" i="9"/>
  <c r="Q52" i="9" s="1"/>
  <c r="Q53" i="9" s="1"/>
  <c r="R53" i="9" s="1"/>
  <c r="S53" i="9" s="1"/>
  <c r="T53" i="9" s="1"/>
  <c r="U53" i="9" s="1"/>
  <c r="V53" i="9" s="1"/>
  <c r="W53" i="9" s="1"/>
  <c r="X53" i="9" s="1"/>
  <c r="Q37" i="9"/>
  <c r="Q41" i="9" s="1"/>
  <c r="Q35" i="9"/>
  <c r="Y35" i="9"/>
  <c r="Q56" i="7"/>
  <c r="Q59" i="7"/>
  <c r="R59" i="7"/>
  <c r="W55" i="7"/>
  <c r="V60" i="7"/>
  <c r="U60" i="7"/>
  <c r="Q34" i="7"/>
  <c r="Y34" i="7"/>
  <c r="E20" i="12" l="1"/>
  <c r="Q37" i="7"/>
  <c r="R37" i="7" s="1"/>
  <c r="S37" i="7" s="1"/>
  <c r="T37" i="7" s="1"/>
  <c r="U37" i="7" s="1"/>
  <c r="V37" i="7" s="1"/>
  <c r="W37" i="7" s="1"/>
  <c r="X37" i="7" s="1"/>
  <c r="E45" i="7" a="1"/>
  <c r="E45" i="7" s="1"/>
  <c r="E19" i="12"/>
  <c r="E14" i="16" s="1"/>
  <c r="Y56" i="9"/>
  <c r="Y61" i="9" s="1"/>
  <c r="X61" i="9"/>
  <c r="Y53" i="9"/>
  <c r="Y36" i="7"/>
  <c r="Y40" i="7" s="1"/>
  <c r="Y41" i="7" s="1"/>
  <c r="E47" i="7" s="1" a="1"/>
  <c r="E47" i="7" s="1"/>
  <c r="Y41" i="9"/>
  <c r="E45" i="9"/>
  <c r="E18" i="16" s="1"/>
  <c r="E44" i="9"/>
  <c r="E17" i="16" s="1"/>
  <c r="Q57" i="9"/>
  <c r="Q60" i="9"/>
  <c r="Q38" i="9"/>
  <c r="R38" i="9" s="1"/>
  <c r="S38" i="9" s="1"/>
  <c r="T38" i="9" s="1"/>
  <c r="U38" i="9" s="1"/>
  <c r="V38" i="9" s="1"/>
  <c r="W38" i="9" s="1"/>
  <c r="X38" i="9" s="1"/>
  <c r="Y38" i="9" s="1"/>
  <c r="E47" i="9" s="1" a="1"/>
  <c r="E47" i="9" s="1"/>
  <c r="Q42" i="9"/>
  <c r="R42" i="9" s="1"/>
  <c r="S42" i="9" s="1"/>
  <c r="T42" i="9" s="1"/>
  <c r="U42" i="9" s="1"/>
  <c r="V42" i="9" s="1"/>
  <c r="W42" i="9" s="1"/>
  <c r="X42" i="9" s="1"/>
  <c r="S60" i="9"/>
  <c r="S57" i="9"/>
  <c r="S59" i="7"/>
  <c r="S56" i="7"/>
  <c r="R56" i="7"/>
  <c r="W60" i="7"/>
  <c r="X55" i="7"/>
  <c r="T60" i="9"/>
  <c r="T57" i="9"/>
  <c r="U60" i="9"/>
  <c r="T56" i="7"/>
  <c r="T59" i="7"/>
  <c r="E44" i="7" l="1"/>
  <c r="E16" i="16" s="1"/>
  <c r="Y37" i="7"/>
  <c r="E46" i="7" s="1" a="1"/>
  <c r="E46" i="7" s="1"/>
  <c r="E43" i="7"/>
  <c r="Y42" i="9"/>
  <c r="E48" i="9" s="1" a="1"/>
  <c r="E48" i="9" s="1"/>
  <c r="D33" i="13"/>
  <c r="R60" i="9"/>
  <c r="R57" i="9"/>
  <c r="X60" i="7"/>
  <c r="Y55" i="7"/>
  <c r="Y60" i="7" s="1"/>
  <c r="V60" i="9"/>
  <c r="U57" i="9"/>
  <c r="U59" i="7"/>
  <c r="U56" i="7"/>
  <c r="B33" i="13" l="1"/>
  <c r="E15" i="16"/>
  <c r="C33" i="13"/>
  <c r="E33" i="13"/>
  <c r="W60" i="9"/>
  <c r="V57" i="9"/>
  <c r="V56" i="7"/>
  <c r="V59" i="7"/>
  <c r="W57" i="9" l="1"/>
  <c r="W59" i="7"/>
  <c r="W56" i="7"/>
  <c r="X57" i="9" l="1"/>
  <c r="X60" i="9"/>
  <c r="Y56" i="7"/>
  <c r="X56" i="7"/>
  <c r="X59" i="7"/>
  <c r="Y59" i="7" l="1"/>
  <c r="Y60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<sst xmlns="http://schemas.openxmlformats.org/spreadsheetml/2006/main" count="400" uniqueCount="222">
  <si>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</si>
  <si>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</si>
  <si>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</si>
  <si>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</si>
  <si>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</si>
  <si>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</si>
  <si>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</si>
  <si>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</si>
  <si>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</si>
  <si>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</si>
  <si>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</si>
  <si>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</si>
  <si>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</si>
  <si>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</si>
  <si>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</si>
  <si>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</si>
  <si>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</si>
  <si>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</si>
  <si>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</si>
  <si>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</si>
  <si>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</si>
  <si>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</si>
  <si>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</si>
  <si>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</si>
  <si>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</si>
  <si>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</si>
  <si>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</si>
  <si>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</si>
  <si>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</si>
  <si>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</si>
  <si>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</si>
  <si>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</si>
  <si>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</si>
  <si>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</si>
  <si>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</si>
  <si>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</si>
  <si>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</si>
  <si>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</si>
  <si>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</si>
  <si>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</si>
  <si>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</si>
  <si>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</si>
  <si>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</si>
  <si>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</si>
  <si>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</si>
  <si>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</si>
  <si>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</si>
  <si>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</si>
  <si>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</si>
  <si>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</si>
  <si>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</si>
  <si>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</si>
  <si>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</si>
  <si>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</si>
  <si>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</si>
  <si>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</si>
  <si>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</si>
  <si>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Termička izolacija omotača zgrade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</si>
  <si>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</si>
  <si>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</si>
  <si>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</si>
  <si>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</si>
  <si>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</si>
  <si>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</si>
  <si>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</si>
  <si>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</si>
  <si>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</si>
  <si>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</si>
  <si>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</si>
  <si>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</si>
  <si>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</si>
  <si>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</si>
  <si>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</si>
  <si>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</si>
  <si>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</si>
  <si>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</si>
  <si>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</si>
  <si>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</si>
  <si>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</si>
  <si>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</si>
  <si>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</si>
  <si>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</si>
  <si>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</si>
  <si>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</si>
  <si>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</si>
  <si>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</si>
  <si>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</si>
  <si>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</si>
  <si>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</si>
  <si>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</si>
  <si>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</si>
  <si>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</si>
  <si>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</si>
  <si>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</si>
  <si>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</si>
  <si>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</si>
  <si>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</si>
  <si>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</si>
  <si>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</si>
  <si>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</si>
  <si>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</si>
  <si>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</si>
  <si>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</si>
  <si>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</si>
  <si>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</si>
  <si>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</si>
  <si>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</si>
  <si>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</si>
  <si>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</si>
  <si>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</si>
  <si>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</si>
  <si>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</si>
  <si>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</si>
  <si>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</si>
  <si>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</si>
  <si>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</si>
  <si>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</si>
  <si>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</si>
  <si>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</si>
  <si>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</si>
  <si>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</si>
  <si>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</si>
  <si>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</si>
  <si>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</si>
  <si>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</si>
  <si>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</si>
  <si>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</si>
  <si>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</si>
  <si>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</si>
  <si>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</si>
  <si>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</si>
  <si>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</si>
  <si>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</si>
  <si>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</si>
  <si>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</si>
  <si>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</si>
  <si>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</si>
  <si>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</si>
  <si>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</si>
  <si>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</si>
  <si>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NAZAD</t>
  </si>
  <si>
    <t>DALJE</t>
  </si>
  <si>
    <t>ESCO INVESTICIJA</t>
  </si>
  <si>
    <t>GRAFIK / CASH FLOW / FINANSIJSKI</t>
  </si>
  <si>
    <t>Diskontovana vrednost udela (EUR/a)</t>
  </si>
  <si>
    <t>N/A</t>
  </si>
  <si>
    <t>Investiciona vrednost (EUR)</t>
  </si>
  <si>
    <t>Subvencije (EUR)</t>
  </si>
  <si>
    <t>LCoE(EE) (EUR/MWh)</t>
  </si>
  <si>
    <t>FNPV (EUR)</t>
  </si>
  <si>
    <t>FIRR (%)</t>
  </si>
  <si>
    <t>REZIME PROJEKTA</t>
  </si>
  <si>
    <t>Miks goriva</t>
  </si>
  <si>
    <t>Udeo uštede ako gradi ESCO (EUR/a)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</si>
  <si>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</si>
  <si>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</si>
  <si>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</si>
  <si>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</si>
  <si>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</si>
  <si>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</si>
  <si>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</si>
  <si>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</si>
  <si>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</si>
  <si>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</si>
  <si>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</si>
  <si>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</si>
  <si>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</si>
  <si>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</si>
  <si>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</si>
  <si>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</si>
  <si>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</si>
  <si>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</si>
  <si>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</si>
  <si>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</si>
  <si>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</si>
  <si>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</si>
  <si>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</si>
  <si>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</si>
  <si>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</si>
  <si>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</si>
  <si>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</si>
  <si>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</si>
  <si>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</si>
  <si>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</si>
  <si>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</si>
  <si>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</si>
  <si>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</si>
  <si>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Toplota iz toplana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</si>
  <si>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</si>
  <si>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</si>
  <si>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</si>
  <si>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</si>
  <si>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</si>
  <si>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</si>
  <si>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</si>
  <si>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</si>
  <si>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Cena toplote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</si>
  <si>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</si>
  <si>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</si>
  <si>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r>
      <t>Cena toplote + CO</t>
    </r>
    <r>
      <rPr>
        <b/>
        <sz val="11"/>
        <color theme="1"/>
        <rFont val="Calibri"/>
        <family val="2"/>
      </rPr>
      <t>₂</t>
    </r>
  </si>
  <si>
    <t>Investicije + CO₂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</si>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</sst>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7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8" borderId="0" xfId="0" applyFill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4" fillId="0" borderId="0" xfId="0" applyFont="1" applyAlignment="1">
      <alignment horizontal="left"/>
    </xf>
    <xf numFmtId="0" fontId="14" fillId="12" borderId="0" xfId="0" applyFont="1" applyFill="1" applyAlignment="1">
      <alignment horizontal="left"/>
    </xf>
    <xf numFmtId="164" fontId="0" fillId="12" borderId="0" xfId="0" applyNumberFormat="1" applyFill="1"/>
    <xf numFmtId="0" fontId="0" fillId="12" borderId="0" xfId="0" applyFill="1"/>
    <xf numFmtId="10" fontId="0" fillId="12" borderId="0" xfId="0" applyNumberFormat="1" applyFill="1"/>
    <xf numFmtId="4" fontId="0" fillId="12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4" fontId="0" fillId="0" borderId="0" xfId="0" applyNumberFormat="1"/>
    <xf numFmtId="10" fontId="0" fillId="0" borderId="0" xfId="2" applyNumberFormat="1" applyFont="1"/>
    <xf numFmtId="164" fontId="0" fillId="0" borderId="0" xfId="2" applyNumberFormat="1" applyFont="1"/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2" fillId="6" borderId="0" xfId="0" applyFont="1" applyFill="1" applyProtection="1">
      <protection locked="0"/>
    </xf>
    <xf numFmtId="4" fontId="1" fillId="6" borderId="0" xfId="0" applyNumberFormat="1" applyFont="1" applyFill="1" applyProtection="1">
      <protection locked="0"/>
    </xf>
    <xf numFmtId="165" fontId="14" fillId="0" borderId="0" xfId="0" applyNumberFormat="1" applyFont="1"/>
    <xf numFmtId="4" fontId="1" fillId="6" borderId="0" xfId="0" applyNumberFormat="1" applyFont="1" applyFill="1"/>
    <xf numFmtId="2" fontId="1" fillId="6" borderId="0" xfId="0" applyNumberFormat="1" applyFont="1" applyFill="1"/>
    <xf numFmtId="0" fontId="19" fillId="0" borderId="0" xfId="0" applyFont="1"/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>
      <alignment horizontal="center" vertical="distributed"/>
    </xf>
    <xf numFmtId="0" fontId="9" fillId="10" borderId="0" xfId="1" applyFont="1" applyFill="1" applyAlignment="1">
      <alignment horizontal="center" vertical="distributed"/>
    </xf>
    <xf numFmtId="0" fontId="2" fillId="6" borderId="0" xfId="0" applyFont="1" applyFill="1" applyAlignment="1">
      <alignment horizontal="left" vertical="distributed"/>
    </xf>
    <xf numFmtId="0" fontId="3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9" fillId="9" borderId="0" xfId="1" applyFont="1" applyFill="1" applyAlignment="1">
      <alignment horizontal="center"/>
    </xf>
    <xf numFmtId="0" fontId="9" fillId="10" borderId="0" xfId="1" applyFont="1" applyFill="1" applyAlignment="1">
      <alignment horizontal="center"/>
    </xf>
    <xf numFmtId="0" fontId="0" fillId="7" borderId="0" xfId="0" applyFill="1" applyAlignment="1">
      <alignment horizontal="center"/>
    </xf>
    <xf numFmtId="0" fontId="11" fillId="11" borderId="0" xfId="0" applyFont="1" applyFill="1" applyAlignment="1">
      <alignment horizontal="center"/>
    </xf>
    <xf numFmtId="0" fontId="3" fillId="6" borderId="0" xfId="0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-123455.61904011683</c:v>
                </c:pt>
                <c:pt idx="2">
                  <c:v>-124480.04664544716</c:v>
                </c:pt>
                <c:pt idx="3">
                  <c:v>-125429.24513107739</c:v>
                </c:pt>
                <c:pt idx="4">
                  <c:v>-126308.73896786461</c:v>
                </c:pt>
                <c:pt idx="5">
                  <c:v>-127123.64693564664</c:v>
                </c:pt>
                <c:pt idx="6">
                  <c:v>-127878.7119152723</c:v>
                </c:pt>
                <c:pt idx="7">
                  <c:v>-128578.32849284587</c:v>
                </c:pt>
                <c:pt idx="8">
                  <c:v>-129226.56853684636</c:v>
                </c:pt>
                <c:pt idx="9">
                  <c:v>-129827.204896984</c:v>
                </c:pt>
                <c:pt idx="10">
                  <c:v>-130383.73336272487</c:v>
                </c:pt>
                <c:pt idx="11">
                  <c:v>-130899.39300928525</c:v>
                </c:pt>
                <c:pt idx="12">
                  <c:v>-131377.18504951237</c:v>
                </c:pt>
                <c:pt idx="13">
                  <c:v>-127067.25575449804</c:v>
                </c:pt>
                <c:pt idx="14">
                  <c:v>-123073.82728896796</c:v>
                </c:pt>
                <c:pt idx="15">
                  <c:v>-119373.6573284645</c:v>
                </c:pt>
                <c:pt idx="16">
                  <c:v>-115945.21035494524</c:v>
                </c:pt>
                <c:pt idx="17">
                  <c:v>-112768.53231698993</c:v>
                </c:pt>
                <c:pt idx="18">
                  <c:v>-109825.13449436909</c:v>
                </c:pt>
                <c:pt idx="19">
                  <c:v>-107097.88589104963</c:v>
                </c:pt>
                <c:pt idx="20">
                  <c:v>-104570.91353034953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3C-4EDF-B265-B142E5A0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1362304"/>
        <c:axId val="112013824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79350</c:v>
                </c:pt>
                <c:pt idx="1">
                  <c:v>138667.253885057</c:v>
                </c:pt>
                <c:pt idx="2">
                  <c:v>153786.24579502779</c:v>
                </c:pt>
                <c:pt idx="3">
                  <c:v>167794.97042381443</c:v>
                </c:pt>
                <c:pt idx="4">
                  <c:v>180774.96055104988</c:v>
                </c:pt>
                <c:pt idx="5">
                  <c:v>192801.76157452908</c:v>
                </c:pt>
                <c:pt idx="6">
                  <c:v>203945.37119522205</c:v>
                </c:pt>
                <c:pt idx="7">
                  <c:v>214270.64681389832</c:v>
                </c:pt>
                <c:pt idx="8">
                  <c:v>223837.68301046971</c:v>
                </c:pt>
                <c:pt idx="9">
                  <c:v>232702.16130303478</c:v>
                </c:pt>
                <c:pt idx="10">
                  <c:v>240915.67422227282</c:v>
                </c:pt>
                <c:pt idx="11">
                  <c:v>248526.0255873467</c:v>
                </c:pt>
                <c:pt idx="12">
                  <c:v>255577.50873096302</c:v>
                </c:pt>
                <c:pt idx="13">
                  <c:v>257358.52974602542</c:v>
                </c:pt>
                <c:pt idx="14">
                  <c:v>259008.76099865523</c:v>
                </c:pt>
                <c:pt idx="15">
                  <c:v>260537.80707061343</c:v>
                </c:pt>
                <c:pt idx="16">
                  <c:v>261954.56722858825</c:v>
                </c:pt>
                <c:pt idx="17">
                  <c:v>263267.28721919929</c:v>
                </c:pt>
                <c:pt idx="18">
                  <c:v>264483.6072604215</c:v>
                </c:pt>
                <c:pt idx="19">
                  <c:v>265610.60650874564</c:v>
                </c:pt>
                <c:pt idx="20">
                  <c:v>266654.84426088113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D3C-4EDF-B265-B142E5A0DE67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15211.634844940165</c:v>
                </c:pt>
                <c:pt idx="2">
                  <c:v>29306.199149580629</c:v>
                </c:pt>
                <c:pt idx="3">
                  <c:v>42365.725292737043</c:v>
                </c:pt>
                <c:pt idx="4">
                  <c:v>54466.221583185266</c:v>
                </c:pt>
                <c:pt idx="5">
                  <c:v>65678.114638882442</c:v>
                </c:pt>
                <c:pt idx="6">
                  <c:v>76066.659279949745</c:v>
                </c:pt>
                <c:pt idx="7">
                  <c:v>85692.318321052444</c:v>
                </c:pt>
                <c:pt idx="8">
                  <c:v>94611.114473623355</c:v>
                </c:pt>
                <c:pt idx="9">
                  <c:v>102874.95640605078</c:v>
                </c:pt>
                <c:pt idx="10">
                  <c:v>110531.94085954795</c:v>
                </c:pt>
                <c:pt idx="11">
                  <c:v>117626.63257806144</c:v>
                </c:pt>
                <c:pt idx="12">
                  <c:v>124200.32368145065</c:v>
                </c:pt>
                <c:pt idx="13">
                  <c:v>130291.27399152739</c:v>
                </c:pt>
                <c:pt idx="14">
                  <c:v>135934.93370968726</c:v>
                </c:pt>
                <c:pt idx="15">
                  <c:v>141164.14974214893</c:v>
                </c:pt>
                <c:pt idx="16">
                  <c:v>146009.356873643</c:v>
                </c:pt>
                <c:pt idx="17">
                  <c:v>150498.75490220936</c:v>
                </c:pt>
                <c:pt idx="18">
                  <c:v>154658.47276605241</c:v>
                </c:pt>
                <c:pt idx="19">
                  <c:v>158512.720617696</c:v>
                </c:pt>
                <c:pt idx="20">
                  <c:v>162083.9307305316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D3C-4EDF-B265-B142E5A0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1362304"/>
        <c:axId val="112013824"/>
      </c:lineChart>
      <c:catAx>
        <c:axId val="171362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13824"/>
        <c:crosses val="autoZero"/>
        <c:auto val="1"/>
        <c:lblAlgn val="ctr"/>
        <c:lblOffset val="100"/>
        <c:noMultiLvlLbl val="0"/>
      </c:catAx>
      <c:valAx>
        <c:axId val="11201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36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-115001.83769588103</c:v>
                </c:pt>
                <c:pt idx="2">
                  <c:v>-104859.63405671999</c:v>
                </c:pt>
                <c:pt idx="3">
                  <c:v>-93758.218583377398</c:v>
                </c:pt>
                <c:pt idx="4">
                  <c:v>-81770.021915898295</c:v>
                </c:pt>
                <c:pt idx="5">
                  <c:v>-68962.230882900796</c:v>
                </c:pt>
                <c:pt idx="6">
                  <c:v>-55397.176419481257</c:v>
                </c:pt>
                <c:pt idx="7">
                  <c:v>-41132.693105373502</c:v>
                </c:pt>
                <c:pt idx="8">
                  <c:v>-26222.452411480335</c:v>
                </c:pt>
                <c:pt idx="9">
                  <c:v>-10716.271589706186</c:v>
                </c:pt>
                <c:pt idx="10">
                  <c:v>5339.6000009131385</c:v>
                </c:pt>
                <c:pt idx="11">
                  <c:v>21902.215470292955</c:v>
                </c:pt>
                <c:pt idx="12">
                  <c:v>38931.684335945174</c:v>
                </c:pt>
                <c:pt idx="13">
                  <c:v>61143.578944298322</c:v>
                </c:pt>
                <c:pt idx="14">
                  <c:v>83481.073531806062</c:v>
                </c:pt>
                <c:pt idx="15">
                  <c:v>105934.94462985333</c:v>
                </c:pt>
                <c:pt idx="16">
                  <c:v>128496.64609775034</c:v>
                </c:pt>
                <c:pt idx="17">
                  <c:v>151158.25938297226</c:v>
                </c:pt>
                <c:pt idx="18">
                  <c:v>173912.4474340516</c:v>
                </c:pt>
                <c:pt idx="19">
                  <c:v>196752.4119978901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575-47C9-BBFF-429FBBC95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43836416"/>
        <c:axId val="16677446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79350</c:v>
                </c:pt>
                <c:pt idx="1">
                  <c:v>137167.34528747876</c:v>
                </c:pt>
                <c:pt idx="2">
                  <c:v>150947.38573819879</c:v>
                </c:pt>
                <c:pt idx="3">
                  <c:v>163768.21435473725</c:v>
                </c:pt>
                <c:pt idx="4">
                  <c:v>175702.26177713921</c:v>
                </c:pt>
                <c:pt idx="5">
                  <c:v>186816.71483402277</c:v>
                </c:pt>
                <c:pt idx="6">
                  <c:v>197173.90446048428</c:v>
                </c:pt>
                <c:pt idx="7">
                  <c:v>206831.66523625757</c:v>
                </c:pt>
                <c:pt idx="8">
                  <c:v>215843.66863224545</c:v>
                </c:pt>
                <c:pt idx="9">
                  <c:v>224259.73190035234</c:v>
                </c:pt>
                <c:pt idx="10">
                  <c:v>232126.10439961407</c:v>
                </c:pt>
                <c:pt idx="11">
                  <c:v>239485.73302011529</c:v>
                </c:pt>
                <c:pt idx="12">
                  <c:v>246378.50824434415</c:v>
                </c:pt>
                <c:pt idx="13">
                  <c:v>248088.85772587208</c:v>
                </c:pt>
                <c:pt idx="14">
                  <c:v>249673.60722824541</c:v>
                </c:pt>
                <c:pt idx="15">
                  <c:v>251141.98022007922</c:v>
                </c:pt>
                <c:pt idx="16">
                  <c:v>252502.52284206328</c:v>
                </c:pt>
                <c:pt idx="17">
                  <c:v>253763.15364672244</c:v>
                </c:pt>
                <c:pt idx="18">
                  <c:v>254931.20968552417</c:v>
                </c:pt>
                <c:pt idx="19">
                  <c:v>256013.48921156675</c:v>
                </c:pt>
                <c:pt idx="20">
                  <c:v>257016.291246384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575-47C9-BBFF-429FBBC95CD9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22165.507591597736</c:v>
                </c:pt>
                <c:pt idx="2">
                  <c:v>46087.751681478796</c:v>
                </c:pt>
                <c:pt idx="3">
                  <c:v>70009.995771359856</c:v>
                </c:pt>
                <c:pt idx="4">
                  <c:v>93932.239861240916</c:v>
                </c:pt>
                <c:pt idx="5">
                  <c:v>117854.48395112198</c:v>
                </c:pt>
                <c:pt idx="6">
                  <c:v>141776.72804100302</c:v>
                </c:pt>
                <c:pt idx="7">
                  <c:v>165698.97213088407</c:v>
                </c:pt>
                <c:pt idx="8">
                  <c:v>189621.21622076511</c:v>
                </c:pt>
                <c:pt idx="9">
                  <c:v>213543.46031064616</c:v>
                </c:pt>
                <c:pt idx="10">
                  <c:v>237465.7044005272</c:v>
                </c:pt>
                <c:pt idx="11">
                  <c:v>261387.94849040825</c:v>
                </c:pt>
                <c:pt idx="12">
                  <c:v>285310.19258028932</c:v>
                </c:pt>
                <c:pt idx="13">
                  <c:v>309232.4366701704</c:v>
                </c:pt>
                <c:pt idx="14">
                  <c:v>333154.68076005147</c:v>
                </c:pt>
                <c:pt idx="15">
                  <c:v>357076.92484993255</c:v>
                </c:pt>
                <c:pt idx="16">
                  <c:v>380999.16893981362</c:v>
                </c:pt>
                <c:pt idx="17">
                  <c:v>404921.4130296947</c:v>
                </c:pt>
                <c:pt idx="18">
                  <c:v>428843.65711957577</c:v>
                </c:pt>
                <c:pt idx="19">
                  <c:v>452765.90120945685</c:v>
                </c:pt>
                <c:pt idx="20">
                  <c:v>476688.14529933792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575-47C9-BBFF-429FBBC95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43836416"/>
        <c:axId val="166774464"/>
      </c:lineChart>
      <c:catAx>
        <c:axId val="43836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774464"/>
        <c:crosses val="autoZero"/>
        <c:auto val="1"/>
        <c:lblAlgn val="ctr"/>
        <c:lblOffset val="100"/>
        <c:noMultiLvlLbl val="0"/>
      </c:catAx>
      <c:valAx>
        <c:axId val="1667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3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#.##000_ ;[Red]\-#.##000\ </c:formatCode>
                <c:ptCount val="2"/>
                <c:pt idx="0">
                  <c:v>-114214.86280141991</c:v>
                </c:pt>
                <c:pt idx="1">
                  <c:v>-129144.20600580597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79D-446C-8D54-E6D37085536F}"/>
            </c:ext>
          </c:extLst>
        </c:ser>
        <c:ser>
          <c:idx val="1"/>
          <c:order val="1"/>
          <c:tx>
            <c:strRef>
              <c:f>Osetljivost!$R$8</c:f>
              <c:strCache>
                <c:ptCount val="1"/>
                <c:pt idx="0">
                  <c:v>Cena toplote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Osetljivost!$D$15:$D$16</c:f>
              <c:numCache>
                <c:formatCode>#.##000_ ;[Red]\-#.##000\ </c:formatCode>
                <c:ptCount val="2"/>
                <c:pt idx="0">
                  <c:v>-88129.492652298009</c:v>
                </c:pt>
                <c:pt idx="1">
                  <c:v>-100551.54878514956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79D-446C-8D54-E6D37085536F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#.##000_ ;[Red]\-#.##000\ </c:formatCode>
                <c:ptCount val="2"/>
                <c:pt idx="0">
                  <c:v>-91853.349044741131</c:v>
                </c:pt>
                <c:pt idx="1">
                  <c:v>-96799.733839309745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79D-446C-8D54-E6D37085536F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#.##000_ ;[Red]\-#.##000\ </c:formatCode>
                <c:ptCount val="2"/>
                <c:pt idx="0">
                  <c:v>-145627.80456171787</c:v>
                </c:pt>
                <c:pt idx="1">
                  <c:v>-97208.470375706063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79D-446C-8D54-E6D37085536F}"/>
            </c:ext>
          </c:extLst>
        </c:ser>
        <c:ser>
          <c:idx val="4"/>
          <c:order val="4"/>
          <c:tx>
            <c:strRef>
              <c:f>Osetljivost!$R$9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#.##000_ ;[Red]\-#.##000\ </c:formatCode>
                <c:ptCount val="2"/>
                <c:pt idx="0">
                  <c:v>-117257.75371647711</c:v>
                </c:pt>
                <c:pt idx="1">
                  <c:v>-70835.634305950443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79D-446C-8D54-E6D370855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51008"/>
        <c:axId val="166780224"/>
      </c:lineChart>
      <c:catAx>
        <c:axId val="6865100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780224"/>
        <c:crosses val="autoZero"/>
        <c:auto val="1"/>
        <c:lblAlgn val="ctr"/>
        <c:lblOffset val="100"/>
        <c:noMultiLvlLbl val="0"/>
      </c:catAx>
      <c:valAx>
        <c:axId val="166780224"/>
        <c:scaling>
          <c:orientation val="minMax"/>
          <c:max val="-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51008"/>
        <c:crosses val="autoZero"/>
        <c:crossBetween val="between"/>
      </c:valAx>
      <c:spPr>
        <a:noFill/>
        <a:ln>
          <a:noFill/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1548.7961579495332</c:v>
                </c:pt>
                <c:pt idx="1">
                  <c:v>1461.1284508957858</c:v>
                </c:pt>
                <c:pt idx="2">
                  <c:v>1378.4230668828168</c:v>
                </c:pt>
                <c:pt idx="3">
                  <c:v>1300.3991197007706</c:v>
                </c:pt>
                <c:pt idx="4">
                  <c:v>1226.7916223592174</c:v>
                </c:pt>
                <c:pt idx="5">
                  <c:v>1157.3505871313371</c:v>
                </c:pt>
                <c:pt idx="6">
                  <c:v>1091.840176538997</c:v>
                </c:pt>
                <c:pt idx="7">
                  <c:v>1030.0379023952803</c:v>
                </c:pt>
                <c:pt idx="8">
                  <c:v>971.7338701842267</c:v>
                </c:pt>
                <c:pt idx="9">
                  <c:v>916.73006621153456</c:v>
                </c:pt>
                <c:pt idx="10">
                  <c:v>864.83968510522118</c:v>
                </c:pt>
                <c:pt idx="11">
                  <c:v>815.88649538228412</c:v>
                </c:pt>
                <c:pt idx="12">
                  <c:v>769.70424092668304</c:v>
                </c:pt>
                <c:pt idx="13">
                  <c:v>726.13607634592745</c:v>
                </c:pt>
                <c:pt idx="14">
                  <c:v>685.03403428861054</c:v>
                </c:pt>
                <c:pt idx="15">
                  <c:v>646.25852291378374</c:v>
                </c:pt>
                <c:pt idx="16">
                  <c:v>609.67785180545627</c:v>
                </c:pt>
                <c:pt idx="17">
                  <c:v>575.16778472212854</c:v>
                </c:pt>
                <c:pt idx="18">
                  <c:v>542.61111766238537</c:v>
                </c:pt>
                <c:pt idx="19">
                  <c:v>511.89728081357117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4E-42C5-BE0B-5A2E7E91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70357504"/>
        <c:axId val="168507584"/>
        <c:extLst xmlns:c16r2="http://schemas.microsoft.com/office/drawing/2015/06/chart"/>
      </c:lineChart>
      <c:catAx>
        <c:axId val="703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507584"/>
        <c:crosses val="autoZero"/>
        <c:auto val="1"/>
        <c:lblAlgn val="ctr"/>
        <c:lblOffset val="100"/>
        <c:noMultiLvlLbl val="0"/>
      </c:catAx>
      <c:valAx>
        <c:axId val="16850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5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57150</xdr:rowOff>
    </xdr:from>
    <xdr:to>
      <xdr:col>2</xdr:col>
      <xdr:colOff>228600</xdr:colOff>
      <xdr:row>14</xdr:row>
      <xdr:rowOff>66328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001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6</xdr:row>
      <xdr:rowOff>104775</xdr:rowOff>
    </xdr:from>
    <xdr:to>
      <xdr:col>11</xdr:col>
      <xdr:colOff>542925</xdr:colOff>
      <xdr:row>8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24675" y="1047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29</xdr:row>
      <xdr:rowOff>0</xdr:rowOff>
    </xdr:from>
    <xdr:to>
      <xdr:col>2</xdr:col>
      <xdr:colOff>533400</xdr:colOff>
      <xdr:row>30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155575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7</xdr:col>
      <xdr:colOff>152400</xdr:colOff>
      <xdr:row>8</xdr:row>
      <xdr:rowOff>147637</xdr:rowOff>
    </xdr:from>
    <xdr:to>
      <xdr:col>14</xdr:col>
      <xdr:colOff>457200</xdr:colOff>
      <xdr:row>23</xdr:row>
      <xdr:rowOff>14287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66675</xdr:rowOff>
    </xdr:from>
    <xdr:to>
      <xdr:col>11</xdr:col>
      <xdr:colOff>523875</xdr:colOff>
      <xdr:row>8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666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6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9</xdr:row>
      <xdr:rowOff>9525</xdr:rowOff>
    </xdr:from>
    <xdr:to>
      <xdr:col>16</xdr:col>
      <xdr:colOff>552450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533400</xdr:colOff>
      <xdr:row>12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41275</xdr:colOff>
      <xdr:row>4</xdr:row>
      <xdr:rowOff>142423</xdr:rowOff>
    </xdr:to>
    <xdr:pic>
      <xdr:nvPicPr>
        <xdr:cNvPr id="5" name="Picture 4" descr="USAID_Horiz_Serbian_RGB_2-Color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590550</xdr:colOff>
      <xdr:row>0</xdr:row>
      <xdr:rowOff>161925</xdr:rowOff>
    </xdr:from>
    <xdr:to>
      <xdr:col>8</xdr:col>
      <xdr:colOff>560070</xdr:colOff>
      <xdr:row>3</xdr:row>
      <xdr:rowOff>169545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381000</xdr:colOff>
      <xdr:row>11</xdr:row>
      <xdr:rowOff>171450</xdr:rowOff>
    </xdr:from>
    <xdr:to>
      <xdr:col>15</xdr:col>
      <xdr:colOff>228600</xdr:colOff>
      <xdr:row>14</xdr:row>
      <xdr:rowOff>25619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77550" y="1314450"/>
          <a:ext cx="457200" cy="4256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104775</xdr:colOff>
      <xdr:row>16</xdr:row>
      <xdr:rowOff>28575</xdr:rowOff>
    </xdr:from>
    <xdr:to>
      <xdr:col>3</xdr:col>
      <xdr:colOff>514350</xdr:colOff>
      <xdr:row>18</xdr:row>
      <xdr:rowOff>10443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3575" y="2428875"/>
          <a:ext cx="409575" cy="3914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1</xdr:rowOff>
    </xdr:from>
    <xdr:to>
      <xdr:col>10</xdr:col>
      <xdr:colOff>493898</xdr:colOff>
      <xdr:row>13</xdr:row>
      <xdr:rowOff>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1"/>
          <a:ext cx="398648" cy="381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190502</xdr:colOff>
      <xdr:row>6</xdr:row>
      <xdr:rowOff>1968</xdr:rowOff>
    </xdr:from>
    <xdr:to>
      <xdr:col>11</xdr:col>
      <xdr:colOff>642937</xdr:colOff>
      <xdr:row>7</xdr:row>
      <xdr:rowOff>167520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08283" y="1968"/>
          <a:ext cx="452435" cy="4274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166692</xdr:colOff>
      <xdr:row>6</xdr:row>
      <xdr:rowOff>11906</xdr:rowOff>
    </xdr:from>
    <xdr:to>
      <xdr:col>11</xdr:col>
      <xdr:colOff>632931</xdr:colOff>
      <xdr:row>8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67817" y="11906"/>
          <a:ext cx="466239" cy="4405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377235</xdr:colOff>
      <xdr:row>12</xdr:row>
      <xdr:rowOff>19049</xdr:rowOff>
    </xdr:from>
    <xdr:to>
      <xdr:col>2</xdr:col>
      <xdr:colOff>210689</xdr:colOff>
      <xdr:row>14</xdr:row>
      <xdr:rowOff>38100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6835" y="1162049"/>
          <a:ext cx="443054" cy="4000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vFaktor"/>
      <sheetName val="Goriva"/>
    </sheetNames>
    <sheetDataSet>
      <sheetData sheetId="0"/>
      <sheetData sheetId="1">
        <row r="9">
          <cell r="B9" t="str">
            <v>Lignit</v>
          </cell>
          <cell r="C9">
            <v>0.4</v>
          </cell>
        </row>
        <row r="10">
          <cell r="B10" t="str">
            <v>Mrki ugalj</v>
          </cell>
          <cell r="C10">
            <v>0.33</v>
          </cell>
        </row>
        <row r="11">
          <cell r="B11" t="str">
            <v>Kameni ugalj</v>
          </cell>
          <cell r="C11">
            <v>0.34</v>
          </cell>
        </row>
        <row r="12">
          <cell r="B12" t="str">
            <v>Lož ulje</v>
          </cell>
          <cell r="C12">
            <v>0.27</v>
          </cell>
        </row>
        <row r="13">
          <cell r="B13" t="str">
            <v>Mazut</v>
          </cell>
          <cell r="C13">
            <v>0.28000000000000003</v>
          </cell>
        </row>
        <row r="14">
          <cell r="B14" t="str">
            <v>Prirodni gas</v>
          </cell>
          <cell r="C14">
            <v>0.2</v>
          </cell>
        </row>
        <row r="15">
          <cell r="B15" t="str">
            <v>TNG</v>
          </cell>
          <cell r="C15">
            <v>0.22</v>
          </cell>
        </row>
        <row r="16">
          <cell r="B16" t="str">
            <v>Drvo (nesertifikovano)</v>
          </cell>
          <cell r="C16">
            <v>0.49399999999999999</v>
          </cell>
        </row>
        <row r="17">
          <cell r="B17" t="str">
            <v>Drvo sertifikovano</v>
          </cell>
          <cell r="C17">
            <v>0</v>
          </cell>
        </row>
        <row r="18">
          <cell r="B18" t="str">
            <v>Suncokret ljuska</v>
          </cell>
          <cell r="C18">
            <v>0.04</v>
          </cell>
        </row>
        <row r="19">
          <cell r="B19" t="str">
            <v>Toplota (kupljena)</v>
          </cell>
          <cell r="C19">
            <v>0.28999999999999998</v>
          </cell>
        </row>
        <row r="20">
          <cell r="B20" t="str">
            <v>Električna energija</v>
          </cell>
          <cell r="C20">
            <v>0.8</v>
          </cell>
        </row>
        <row r="21">
          <cell r="B21" t="str">
            <v>Električna energija OIE</v>
          </cell>
          <cell r="C21">
            <v>0</v>
          </cell>
        </row>
        <row r="22">
          <cell r="B22" t="str">
            <v>Gorivo</v>
          </cell>
        </row>
        <row r="23">
          <cell r="B23" t="str">
            <v>Toplota iz DH</v>
          </cell>
          <cell r="C23">
            <v>0.22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R24"/>
  <sheetViews>
    <sheetView workbookViewId="0">
      <selection activeCell="I4" sqref="I4"/>
    </sheetView>
  </sheetViews>
  <sheetFormatPr defaultRowHeight="15" x14ac:dyDescent="0.25"/>
  <sheetData>
    <row r="3" spans="2:18" ht="16.5" x14ac:dyDescent="0.35">
      <c r="F3" s="63" t="s">
        <v>160</v>
      </c>
      <c r="G3" s="63"/>
      <c r="H3" s="63"/>
      <c r="I3" s="63"/>
    </row>
    <row r="7" spans="2:18" x14ac:dyDescent="0.25">
      <c r="B7" s="64" t="s">
        <v>0</v>
      </c>
      <c r="C7" s="64"/>
      <c r="D7" s="64"/>
      <c r="E7" s="64"/>
      <c r="F7" s="64"/>
      <c r="G7" s="64"/>
      <c r="H7" s="64"/>
      <c r="I7" s="64"/>
      <c r="J7" s="64"/>
      <c r="K7" s="64"/>
    </row>
    <row r="8" spans="2:18" x14ac:dyDescent="0.25">
      <c r="B8" s="64"/>
      <c r="C8" s="64"/>
      <c r="D8" s="64"/>
      <c r="E8" s="64"/>
      <c r="F8" s="64"/>
      <c r="G8" s="64"/>
      <c r="H8" s="64"/>
      <c r="I8" s="64"/>
      <c r="J8" s="64"/>
      <c r="K8" s="64"/>
    </row>
    <row r="9" spans="2:18" x14ac:dyDescent="0.25">
      <c r="B9" s="64"/>
      <c r="C9" s="64"/>
      <c r="D9" s="64"/>
      <c r="E9" s="64"/>
      <c r="F9" s="64"/>
      <c r="G9" s="64"/>
      <c r="H9" s="64"/>
      <c r="I9" s="64"/>
      <c r="J9" s="64"/>
      <c r="K9" s="64"/>
      <c r="M9" s="65" t="s">
        <v>2</v>
      </c>
      <c r="N9" s="65"/>
      <c r="O9" s="65"/>
      <c r="P9" s="65"/>
      <c r="Q9" s="65"/>
      <c r="R9" s="65"/>
    </row>
    <row r="10" spans="2:18" x14ac:dyDescent="0.25">
      <c r="B10" s="64"/>
      <c r="C10" s="64"/>
      <c r="D10" s="64"/>
      <c r="E10" s="64"/>
      <c r="F10" s="64"/>
      <c r="G10" s="64"/>
      <c r="H10" s="64"/>
      <c r="I10" s="64"/>
      <c r="J10" s="64"/>
      <c r="K10" s="64"/>
      <c r="M10" s="65"/>
      <c r="N10" s="65"/>
      <c r="O10" s="65"/>
      <c r="P10" s="65"/>
      <c r="Q10" s="65"/>
      <c r="R10" s="65"/>
    </row>
    <row r="11" spans="2:18" x14ac:dyDescent="0.25"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spans="2:18" x14ac:dyDescent="0.25">
      <c r="B12" s="64"/>
      <c r="C12" s="64"/>
      <c r="D12" s="64"/>
      <c r="E12" s="64"/>
      <c r="F12" s="64"/>
      <c r="G12" s="64"/>
      <c r="H12" s="64"/>
      <c r="I12" s="64"/>
      <c r="J12" s="64"/>
      <c r="K12" s="64"/>
      <c r="M12" s="66" t="s">
        <v>38</v>
      </c>
      <c r="N12" s="66"/>
      <c r="O12" s="66"/>
      <c r="P12" s="66"/>
      <c r="Q12" s="66"/>
      <c r="R12" s="66"/>
    </row>
    <row r="13" spans="2:18" x14ac:dyDescent="0.25">
      <c r="B13" s="64"/>
      <c r="C13" s="64"/>
      <c r="D13" s="64"/>
      <c r="E13" s="64"/>
      <c r="F13" s="64"/>
      <c r="G13" s="64"/>
      <c r="H13" s="64"/>
      <c r="I13" s="64"/>
      <c r="J13" s="64"/>
      <c r="K13" s="64"/>
    </row>
    <row r="14" spans="2:18" x14ac:dyDescent="0.25">
      <c r="B14" s="64"/>
      <c r="C14" s="64"/>
      <c r="D14" s="64"/>
      <c r="E14" s="64"/>
      <c r="F14" s="64"/>
      <c r="G14" s="64"/>
      <c r="H14" s="64"/>
      <c r="I14" s="64"/>
      <c r="J14" s="64"/>
      <c r="K14" s="64"/>
      <c r="M14" s="67" t="s">
        <v>140</v>
      </c>
      <c r="N14" s="67"/>
      <c r="Q14" s="68" t="s">
        <v>141</v>
      </c>
      <c r="R14" s="68"/>
    </row>
    <row r="15" spans="2:18" x14ac:dyDescent="0.25">
      <c r="B15" s="64"/>
      <c r="C15" s="64"/>
      <c r="D15" s="64"/>
      <c r="E15" s="64"/>
      <c r="F15" s="64"/>
      <c r="G15" s="64"/>
      <c r="H15" s="64"/>
      <c r="I15" s="64"/>
      <c r="J15" s="64"/>
      <c r="K15" s="64"/>
      <c r="M15" s="67"/>
      <c r="N15" s="67"/>
      <c r="Q15" s="68"/>
      <c r="R15" s="68"/>
    </row>
    <row r="16" spans="2:18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x14ac:dyDescent="0.25">
      <c r="B17" s="64"/>
      <c r="C17" s="64"/>
      <c r="D17" s="64"/>
      <c r="E17" s="64"/>
      <c r="F17" s="64"/>
      <c r="G17" s="64"/>
      <c r="H17" s="64"/>
      <c r="I17" s="64"/>
      <c r="J17" s="64"/>
      <c r="K17" s="64"/>
    </row>
    <row r="18" spans="2:11" x14ac:dyDescent="0.25">
      <c r="B18" s="64"/>
      <c r="C18" s="64"/>
      <c r="D18" s="64"/>
      <c r="E18" s="64"/>
      <c r="F18" s="64"/>
      <c r="G18" s="64"/>
      <c r="H18" s="64"/>
      <c r="I18" s="64"/>
      <c r="J18" s="64"/>
      <c r="K18" s="64"/>
    </row>
    <row r="19" spans="2:11" x14ac:dyDescent="0.25">
      <c r="B19" s="64"/>
      <c r="C19" s="64"/>
      <c r="D19" s="64"/>
      <c r="E19" s="64"/>
      <c r="F19" s="64"/>
      <c r="G19" s="64"/>
      <c r="H19" s="64"/>
      <c r="I19" s="64"/>
      <c r="J19" s="64"/>
      <c r="K19" s="64"/>
    </row>
    <row r="20" spans="2:11" x14ac:dyDescent="0.25">
      <c r="B20" s="64"/>
      <c r="C20" s="64"/>
      <c r="D20" s="64"/>
      <c r="E20" s="64"/>
      <c r="F20" s="64"/>
      <c r="G20" s="64"/>
      <c r="H20" s="64"/>
      <c r="I20" s="64"/>
      <c r="J20" s="64"/>
      <c r="K20" s="64"/>
    </row>
    <row r="21" spans="2:11" x14ac:dyDescent="0.25">
      <c r="B21" s="64"/>
      <c r="C21" s="64"/>
      <c r="D21" s="64"/>
      <c r="E21" s="64"/>
      <c r="F21" s="64"/>
      <c r="G21" s="64"/>
      <c r="H21" s="64"/>
      <c r="I21" s="64"/>
      <c r="J21" s="64"/>
      <c r="K21" s="64"/>
    </row>
    <row r="22" spans="2:11" x14ac:dyDescent="0.25">
      <c r="B22" s="64"/>
      <c r="C22" s="64"/>
      <c r="D22" s="64"/>
      <c r="E22" s="64"/>
      <c r="F22" s="64"/>
      <c r="G22" s="64"/>
      <c r="H22" s="64"/>
      <c r="I22" s="64"/>
      <c r="J22" s="64"/>
      <c r="K22" s="64"/>
    </row>
    <row r="23" spans="2:11" x14ac:dyDescent="0.25">
      <c r="B23" s="64"/>
      <c r="C23" s="64"/>
      <c r="D23" s="64"/>
      <c r="E23" s="64"/>
      <c r="F23" s="64"/>
      <c r="G23" s="64"/>
      <c r="H23" s="64"/>
      <c r="I23" s="64"/>
      <c r="J23" s="64"/>
      <c r="K23" s="64"/>
    </row>
    <row r="24" spans="2:11" x14ac:dyDescent="0.25">
      <c r="B24" s="64"/>
      <c r="C24" s="64"/>
      <c r="D24" s="64"/>
      <c r="E24" s="64"/>
      <c r="F24" s="64"/>
      <c r="G24" s="64"/>
      <c r="H24" s="64"/>
      <c r="I24" s="64"/>
      <c r="J24" s="64"/>
      <c r="K24" s="64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C24" sqref="C24"/>
    </sheetView>
  </sheetViews>
  <sheetFormatPr defaultRowHeight="15" x14ac:dyDescent="0.25"/>
  <sheetData>
    <row r="3" spans="1:9" ht="16.5" x14ac:dyDescent="0.35">
      <c r="F3" s="63" t="s">
        <v>160</v>
      </c>
      <c r="G3" s="63"/>
      <c r="H3" s="63"/>
      <c r="I3" s="63"/>
    </row>
    <row r="7" spans="1:9" ht="15" customHeight="1" x14ac:dyDescent="0.25">
      <c r="A7" s="65" t="s">
        <v>131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140</v>
      </c>
      <c r="B11" s="67"/>
      <c r="C11" s="68" t="s">
        <v>141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63" t="s">
        <v>160</v>
      </c>
      <c r="G3" s="63"/>
      <c r="H3" s="63"/>
      <c r="I3" s="63"/>
    </row>
    <row r="7" spans="1:28" ht="18.75" x14ac:dyDescent="0.25">
      <c r="A7" s="83" t="s">
        <v>132</v>
      </c>
      <c r="B7" s="83"/>
      <c r="C7" s="83"/>
      <c r="D7" s="83"/>
      <c r="I7" s="67" t="s">
        <v>140</v>
      </c>
      <c r="J7" s="67"/>
      <c r="N7" s="68" t="s">
        <v>141</v>
      </c>
      <c r="O7" s="68"/>
    </row>
    <row r="8" spans="1:28" x14ac:dyDescent="0.25">
      <c r="A8" s="83"/>
      <c r="B8" s="83"/>
      <c r="C8" s="83"/>
      <c r="D8" s="83"/>
    </row>
    <row r="10" spans="1:28" x14ac:dyDescent="0.25">
      <c r="A10" s="72" t="s">
        <v>133</v>
      </c>
      <c r="B10" s="72"/>
      <c r="C10" s="72"/>
      <c r="D10" s="72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  <c r="Z10" s="21"/>
      <c r="AA10" s="21"/>
      <c r="AB10" s="21"/>
    </row>
    <row r="12" spans="1:28" x14ac:dyDescent="0.25">
      <c r="A12" s="73" t="s">
        <v>134</v>
      </c>
      <c r="B12" s="73"/>
      <c r="C12" s="73"/>
      <c r="D12" s="73"/>
      <c r="E12" s="4"/>
      <c r="F12" s="4">
        <f>Investment</f>
        <v>122350</v>
      </c>
    </row>
    <row r="13" spans="1:28" x14ac:dyDescent="0.25">
      <c r="A13" s="73" t="s">
        <v>135</v>
      </c>
      <c r="B13" s="73"/>
      <c r="C13" s="73"/>
      <c r="D13" s="73"/>
      <c r="F13" s="4">
        <f>IF(F10&lt;&gt;"",-(FinaIndicators!F28+FinaIndicators!F33),"")</f>
        <v>17296.269807984288</v>
      </c>
      <c r="G13" s="4">
        <f>IF(G10&lt;&gt;"",-(FinaIndicators!G28+FinaIndicators!G33),"")</f>
        <v>17237.085615697782</v>
      </c>
      <c r="H13" s="4">
        <f>IF(H10&lt;&gt;"",-(FinaIndicators!H28+FinaIndicators!H33),"")</f>
        <v>17170.799320336897</v>
      </c>
      <c r="I13" s="4">
        <f>IF(I10&lt;&gt;"",-(FinaIndicators!I28+FinaIndicators!I33),"")</f>
        <v>17096.558669532707</v>
      </c>
      <c r="J13" s="4">
        <f>IF(J10&lt;&gt;"",-(FinaIndicators!J28+FinaIndicators!J33),"")</f>
        <v>17013.409140632015</v>
      </c>
      <c r="K13" s="4">
        <f>IF(K10&lt;&gt;"",-(FinaIndicators!K28+FinaIndicators!K33),"")</f>
        <v>16920.281668263236</v>
      </c>
      <c r="L13" s="4">
        <f>IF(L10&lt;&gt;"",-(FinaIndicators!L28+FinaIndicators!L33),"")</f>
        <v>16815.978899210208</v>
      </c>
      <c r="M13" s="4">
        <f>IF(M10&lt;&gt;"",-(FinaIndicators!M28+FinaIndicators!M33),"")</f>
        <v>16699.159797870812</v>
      </c>
      <c r="N13" s="4">
        <f>IF(N10&lt;&gt;"",-(FinaIndicators!N28+FinaIndicators!N33),"")</f>
        <v>16568.32240437069</v>
      </c>
      <c r="O13" s="4">
        <f>IF(O10&lt;&gt;"",-(FinaIndicators!O28+FinaIndicators!O33),"")</f>
        <v>16421.784523650556</v>
      </c>
      <c r="P13" s="4">
        <f>IF(P10&lt;&gt;"",-(FinaIndicators!P28+FinaIndicators!P33),"")</f>
        <v>16257.662097244005</v>
      </c>
      <c r="Q13" s="4">
        <f>IF(Q10&lt;&gt;"",-(FinaIndicators!Q28+FinaIndicators!Q33),"")</f>
        <v>16073.844979668665</v>
      </c>
      <c r="R13" s="4">
        <f>IF(R10&lt;&gt;"",-(FinaIndicators!R28+FinaIndicators!R33),"")</f>
        <v>3057.9591254007223</v>
      </c>
      <c r="S13" s="4">
        <f>IF(S10&lt;&gt;"",-(FinaIndicators!S28+FinaIndicators!S33),"")</f>
        <v>3057.9591254007223</v>
      </c>
      <c r="T13" s="4">
        <f>IF(T10&lt;&gt;"",-(FinaIndicators!T28+FinaIndicators!T33),"")</f>
        <v>3057.9591254007223</v>
      </c>
      <c r="U13" s="4">
        <f>IF(U10&lt;&gt;"",-(FinaIndicators!U28+FinaIndicators!U33),"")</f>
        <v>3057.9591254007223</v>
      </c>
      <c r="V13" s="4">
        <f>IF(V10&lt;&gt;"",-(FinaIndicators!V28+FinaIndicators!V33),"")</f>
        <v>3057.9591254007223</v>
      </c>
      <c r="W13" s="4">
        <f>IF(W10&lt;&gt;"",-(FinaIndicators!W28+FinaIndicators!W33),"")</f>
        <v>3057.9591254007223</v>
      </c>
      <c r="X13" s="4">
        <f>IF(X10&lt;&gt;"",-(FinaIndicators!X28+FinaIndicators!X33),"")</f>
        <v>3057.9591254007223</v>
      </c>
      <c r="Y13" s="4">
        <f>IF(Y10&lt;&gt;"",-(FinaIndicators!Y28+FinaIndicators!Y33),"")</f>
        <v>3057.9591254007223</v>
      </c>
    </row>
    <row r="14" spans="1:28" x14ac:dyDescent="0.25">
      <c r="A14" s="73" t="s">
        <v>136</v>
      </c>
      <c r="B14" s="73"/>
      <c r="C14" s="73"/>
      <c r="D14" s="73"/>
      <c r="E14" s="4"/>
      <c r="F14" s="4">
        <f t="shared" ref="F14:Y14" si="0">IF(F10&lt;&gt;"",F12+F13,"")</f>
        <v>139646.2698079843</v>
      </c>
      <c r="G14" s="4">
        <f t="shared" si="0"/>
        <v>17237.085615697782</v>
      </c>
      <c r="H14" s="4">
        <f t="shared" si="0"/>
        <v>17170.799320336897</v>
      </c>
      <c r="I14" s="4">
        <f t="shared" si="0"/>
        <v>17096.558669532707</v>
      </c>
      <c r="J14" s="4">
        <f t="shared" si="0"/>
        <v>17013.409140632015</v>
      </c>
      <c r="K14" s="4">
        <f t="shared" si="0"/>
        <v>16920.281668263236</v>
      </c>
      <c r="L14" s="4">
        <f t="shared" si="0"/>
        <v>16815.978899210208</v>
      </c>
      <c r="M14" s="4">
        <f t="shared" si="0"/>
        <v>16699.159797870812</v>
      </c>
      <c r="N14" s="4">
        <f t="shared" si="0"/>
        <v>16568.32240437069</v>
      </c>
      <c r="O14" s="4">
        <f t="shared" si="0"/>
        <v>16421.784523650556</v>
      </c>
      <c r="P14" s="4">
        <f t="shared" si="0"/>
        <v>16257.662097244005</v>
      </c>
      <c r="Q14" s="4">
        <f t="shared" si="0"/>
        <v>16073.844979668665</v>
      </c>
      <c r="R14" s="4">
        <f t="shared" si="0"/>
        <v>3057.9591254007223</v>
      </c>
      <c r="S14" s="4">
        <f t="shared" si="0"/>
        <v>3057.9591254007223</v>
      </c>
      <c r="T14" s="4">
        <f t="shared" si="0"/>
        <v>3057.9591254007223</v>
      </c>
      <c r="U14" s="4">
        <f t="shared" si="0"/>
        <v>3057.9591254007223</v>
      </c>
      <c r="V14" s="4">
        <f t="shared" si="0"/>
        <v>3057.9591254007223</v>
      </c>
      <c r="W14" s="4">
        <f>IF(W10&lt;&gt;"",W12+W13,"")</f>
        <v>3057.9591254007223</v>
      </c>
      <c r="X14" s="4">
        <f t="shared" si="0"/>
        <v>3057.9591254007223</v>
      </c>
      <c r="Y14" s="4">
        <f t="shared" si="0"/>
        <v>3057.9591254007223</v>
      </c>
    </row>
    <row r="15" spans="1:28" x14ac:dyDescent="0.25">
      <c r="A15" s="74"/>
      <c r="B15" s="74"/>
      <c r="C15" s="74"/>
      <c r="D15" s="74"/>
    </row>
    <row r="16" spans="1:28" x14ac:dyDescent="0.25">
      <c r="A16" s="73" t="s">
        <v>137</v>
      </c>
      <c r="B16" s="73"/>
      <c r="C16" s="73"/>
      <c r="D16" s="73"/>
      <c r="F16" s="4">
        <f>IF(F10&lt;&gt;"",FinaIndicators!F14,"")</f>
        <v>275.07787999999999</v>
      </c>
      <c r="G16" s="4">
        <f>IF(G10&lt;&gt;"",FinaIndicators!G14,"")</f>
        <v>275.07787999999999</v>
      </c>
      <c r="H16" s="4">
        <f>IF(H10&lt;&gt;"",FinaIndicators!H14,"")</f>
        <v>275.07787999999999</v>
      </c>
      <c r="I16" s="4">
        <f>IF(I10&lt;&gt;"",FinaIndicators!I14,"")</f>
        <v>275.07787999999999</v>
      </c>
      <c r="J16" s="4">
        <f>IF(J10&lt;&gt;"",FinaIndicators!J14,"")</f>
        <v>275.07787999999999</v>
      </c>
      <c r="K16" s="4">
        <f>IF(K10&lt;&gt;"",FinaIndicators!K14,"")</f>
        <v>275.07787999999999</v>
      </c>
      <c r="L16" s="4">
        <f>IF(L10&lt;&gt;"",FinaIndicators!L14,"")</f>
        <v>275.07787999999999</v>
      </c>
      <c r="M16" s="4">
        <f>IF(M10&lt;&gt;"",FinaIndicators!M14,"")</f>
        <v>275.07787999999999</v>
      </c>
      <c r="N16" s="4">
        <f>IF(N10&lt;&gt;"",FinaIndicators!N14,"")</f>
        <v>275.07787999999999</v>
      </c>
      <c r="O16" s="4">
        <f>IF(O10&lt;&gt;"",FinaIndicators!O14,"")</f>
        <v>275.07787999999999</v>
      </c>
      <c r="P16" s="4">
        <f>IF(P10&lt;&gt;"",FinaIndicators!P14,"")</f>
        <v>275.07787999999999</v>
      </c>
      <c r="Q16" s="4">
        <f>IF(Q10&lt;&gt;"",FinaIndicators!Q14,"")</f>
        <v>275.07787999999999</v>
      </c>
      <c r="R16" s="4">
        <f>IF(R10&lt;&gt;"",FinaIndicators!R14,"")</f>
        <v>275.07787999999999</v>
      </c>
      <c r="S16" s="4">
        <f>IF(S10&lt;&gt;"",FinaIndicators!S14,"")</f>
        <v>275.07787999999999</v>
      </c>
      <c r="T16" s="4">
        <f>IF(T10&lt;&gt;"",FinaIndicators!T14,"")</f>
        <v>275.07787999999999</v>
      </c>
      <c r="U16" s="4">
        <f>IF(U10&lt;&gt;"",FinaIndicators!U14,"")</f>
        <v>275.07787999999999</v>
      </c>
      <c r="V16" s="4">
        <f>IF(V10&lt;&gt;"",FinaIndicators!V14,"")</f>
        <v>275.07787999999999</v>
      </c>
      <c r="W16" s="4">
        <f>IF(W10&lt;&gt;"",FinaIndicators!W14,"")</f>
        <v>275.07787999999999</v>
      </c>
      <c r="X16" s="4">
        <f>IF(X10&lt;&gt;"",FinaIndicators!X14,"")</f>
        <v>275.07787999999999</v>
      </c>
      <c r="Y16" s="4">
        <f>IF(Y10&lt;&gt;"",FinaIndicators!Y14,"")</f>
        <v>275.07787999999999</v>
      </c>
    </row>
    <row r="17" spans="1:25" ht="18" x14ac:dyDescent="0.35">
      <c r="A17" s="73" t="s">
        <v>138</v>
      </c>
      <c r="B17" s="73"/>
      <c r="C17" s="73"/>
      <c r="D17" s="73"/>
      <c r="F17" s="4">
        <f>IF(F10&lt;&gt;"",F16*UnosPodataka!$M$20,"")</f>
        <v>77.021806400000003</v>
      </c>
      <c r="G17" s="4">
        <f>IF(G10&lt;&gt;"",G16*UnosPodataka!$M$20,"")</f>
        <v>77.021806400000003</v>
      </c>
      <c r="H17" s="4">
        <f>IF(H10&lt;&gt;"",H16*UnosPodataka!$M$20,"")</f>
        <v>77.021806400000003</v>
      </c>
      <c r="I17" s="4">
        <f>IF(I10&lt;&gt;"",I16*UnosPodataka!$M$20,"")</f>
        <v>77.021806400000003</v>
      </c>
      <c r="J17" s="4">
        <f>IF(J10&lt;&gt;"",J16*UnosPodataka!$M$20,"")</f>
        <v>77.021806400000003</v>
      </c>
      <c r="K17" s="4">
        <f>IF(K10&lt;&gt;"",K16*UnosPodataka!$M$20,"")</f>
        <v>77.021806400000003</v>
      </c>
      <c r="L17" s="4">
        <f>IF(L10&lt;&gt;"",L16*UnosPodataka!$M$20,"")</f>
        <v>77.021806400000003</v>
      </c>
      <c r="M17" s="4">
        <f>IF(M10&lt;&gt;"",M16*UnosPodataka!$M$20,"")</f>
        <v>77.021806400000003</v>
      </c>
      <c r="N17" s="4">
        <f>IF(N10&lt;&gt;"",N16*UnosPodataka!$M$20,"")</f>
        <v>77.021806400000003</v>
      </c>
      <c r="O17" s="4">
        <f>IF(O10&lt;&gt;"",O16*UnosPodataka!$M$20,"")</f>
        <v>77.021806400000003</v>
      </c>
      <c r="P17" s="4">
        <f>IF(P10&lt;&gt;"",P16*UnosPodataka!$M$20,"")</f>
        <v>77.021806400000003</v>
      </c>
      <c r="Q17" s="4">
        <f>IF(Q10&lt;&gt;"",Q16*UnosPodataka!$M$20,"")</f>
        <v>77.021806400000003</v>
      </c>
      <c r="R17" s="4">
        <f>IF(R10&lt;&gt;"",R16*UnosPodataka!$M$20,"")</f>
        <v>77.021806400000003</v>
      </c>
      <c r="S17" s="4">
        <f>IF(S10&lt;&gt;"",S16*UnosPodataka!$M$20,"")</f>
        <v>77.021806400000003</v>
      </c>
      <c r="T17" s="4">
        <f>IF(T10&lt;&gt;"",T16*UnosPodataka!$M$20,"")</f>
        <v>77.021806400000003</v>
      </c>
      <c r="U17" s="4">
        <f>IF(U10&lt;&gt;"",U16*UnosPodataka!$M$20,"")</f>
        <v>77.021806400000003</v>
      </c>
      <c r="V17" s="4">
        <f>IF(V10&lt;&gt;"",V16*UnosPodataka!$M$20,"")</f>
        <v>77.021806400000003</v>
      </c>
      <c r="W17" s="4">
        <f>IF(W10&lt;&gt;"",W16*UnosPodataka!$M$20,"")</f>
        <v>77.021806400000003</v>
      </c>
      <c r="X17" s="4">
        <f>IF(X10&lt;&gt;"",X16*UnosPodataka!$M$20,"")</f>
        <v>77.021806400000003</v>
      </c>
      <c r="Y17" s="4">
        <f>IF(Y10&lt;&gt;"",Y16*UnosPodataka!$M$20,"")</f>
        <v>77.021806400000003</v>
      </c>
    </row>
    <row r="19" spans="1:25" x14ac:dyDescent="0.25">
      <c r="A19" s="72" t="s">
        <v>35</v>
      </c>
      <c r="B19" s="72"/>
      <c r="C19" s="72"/>
      <c r="D19" s="72"/>
      <c r="E19" s="4">
        <f>NPV(UnosPodataka!M15,LCoEE!F14:Y14)/NPV(UnosPodataka!M15,LCoEE!F16:Y16)</f>
        <v>84.405731642007439</v>
      </c>
    </row>
    <row r="20" spans="1:25" ht="18" x14ac:dyDescent="0.35">
      <c r="A20" s="72" t="s">
        <v>36</v>
      </c>
      <c r="B20" s="72"/>
      <c r="C20" s="72"/>
      <c r="D20" s="72"/>
      <c r="E20" s="4">
        <f>NPV(UnosPodataka!M15,LCoEE!F14:Y14)/NPV(UnosPodataka!M15,LCoEE!F17:Y17)</f>
        <v>301.44904157859804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3:I3"/>
    <mergeCell ref="I7:J7"/>
    <mergeCell ref="N7:O7"/>
    <mergeCell ref="A16:D16"/>
    <mergeCell ref="A17:D17"/>
  </mergeCells>
  <hyperlinks>
    <hyperlink ref="I7:J7" location="GraphEcon!A5" display="NAZAD"/>
    <hyperlink ref="N7:O7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R33"/>
  <sheetViews>
    <sheetView workbookViewId="0">
      <selection activeCell="L30" sqref="L30"/>
    </sheetView>
  </sheetViews>
  <sheetFormatPr defaultRowHeight="15" x14ac:dyDescent="0.25"/>
  <cols>
    <col min="1" max="1" width="12" customWidth="1"/>
    <col min="2" max="2" width="11" customWidth="1"/>
    <col min="4" max="4" width="11.5703125" customWidth="1"/>
  </cols>
  <sheetData>
    <row r="3" spans="1:18" ht="16.5" x14ac:dyDescent="0.35">
      <c r="F3" s="63" t="s">
        <v>160</v>
      </c>
      <c r="G3" s="63"/>
      <c r="H3" s="63"/>
      <c r="I3" s="63"/>
    </row>
    <row r="7" spans="1:18" ht="21" x14ac:dyDescent="0.35">
      <c r="A7" s="70" t="s">
        <v>139</v>
      </c>
      <c r="B7" s="70"/>
      <c r="C7" s="70"/>
      <c r="D7" s="70"/>
    </row>
    <row r="8" spans="1:18" ht="15.75" thickBot="1" x14ac:dyDescent="0.3">
      <c r="R8" s="51" t="s">
        <v>199</v>
      </c>
    </row>
    <row r="9" spans="1:18" ht="15.75" thickBot="1" x14ac:dyDescent="0.3">
      <c r="B9" s="48" t="s">
        <v>188</v>
      </c>
      <c r="C9" s="49"/>
      <c r="D9" s="48" t="s">
        <v>189</v>
      </c>
      <c r="E9" s="49"/>
      <c r="R9" s="51" t="s">
        <v>200</v>
      </c>
    </row>
    <row r="10" spans="1:18" ht="15.75" thickBot="1" x14ac:dyDescent="0.3">
      <c r="B10" s="50" t="s">
        <v>190</v>
      </c>
      <c r="C10" s="50" t="s">
        <v>191</v>
      </c>
      <c r="D10" s="50" t="s">
        <v>190</v>
      </c>
      <c r="E10" s="50" t="s">
        <v>191</v>
      </c>
    </row>
    <row r="12" spans="1:18" x14ac:dyDescent="0.25">
      <c r="A12" s="51" t="s">
        <v>192</v>
      </c>
      <c r="B12" s="52">
        <v>-121575.42963791796</v>
      </c>
      <c r="C12" s="53">
        <v>-6.717129407454947E-2</v>
      </c>
      <c r="D12" s="52">
        <v>-94326.541442025424</v>
      </c>
      <c r="E12" s="10">
        <v>-6.717129407454947E-2</v>
      </c>
    </row>
    <row r="13" spans="1:18" x14ac:dyDescent="0.25">
      <c r="B13" s="52"/>
      <c r="D13" s="52"/>
    </row>
    <row r="14" spans="1:18" x14ac:dyDescent="0.25">
      <c r="A14" s="51" t="s">
        <v>196</v>
      </c>
      <c r="B14" s="52"/>
      <c r="D14" s="52"/>
    </row>
    <row r="15" spans="1:18" x14ac:dyDescent="0.25">
      <c r="A15" s="23">
        <v>0.1</v>
      </c>
      <c r="B15" s="52">
        <v>-114214.86280141991</v>
      </c>
      <c r="C15" s="53">
        <v>-5.6319098603530349E-2</v>
      </c>
      <c r="D15" s="52">
        <v>-88129.492652298009</v>
      </c>
      <c r="E15" s="10">
        <v>-5.6319098603530349E-2</v>
      </c>
    </row>
    <row r="16" spans="1:18" x14ac:dyDescent="0.25">
      <c r="A16" s="23">
        <v>-0.1</v>
      </c>
      <c r="B16" s="52">
        <v>-129144.20600580597</v>
      </c>
      <c r="C16" s="53">
        <v>-7.8826953962177648E-2</v>
      </c>
      <c r="D16" s="52">
        <v>-100551.54878514956</v>
      </c>
      <c r="E16" s="10">
        <v>-7.8826953962177648E-2</v>
      </c>
    </row>
    <row r="17" spans="1:5" x14ac:dyDescent="0.25">
      <c r="A17" s="9" t="s">
        <v>193</v>
      </c>
      <c r="B17" s="53">
        <v>1.9211999999999998</v>
      </c>
      <c r="C17" s="53"/>
      <c r="D17" s="53">
        <v>1.5219999999999998</v>
      </c>
      <c r="E17" s="10"/>
    </row>
    <row r="18" spans="1:5" x14ac:dyDescent="0.25">
      <c r="B18" s="52"/>
      <c r="D18" s="52"/>
    </row>
    <row r="19" spans="1:5" x14ac:dyDescent="0.25">
      <c r="A19" s="51" t="s">
        <v>194</v>
      </c>
      <c r="B19" s="52"/>
      <c r="D19" s="52"/>
    </row>
    <row r="20" spans="1:5" x14ac:dyDescent="0.25">
      <c r="A20" s="23">
        <v>0.1</v>
      </c>
      <c r="B20" s="52"/>
      <c r="C20" s="53"/>
      <c r="D20" s="52">
        <v>-91853.349044741131</v>
      </c>
      <c r="E20" s="10">
        <v>-6.717129407454947E-2</v>
      </c>
    </row>
    <row r="21" spans="1:5" x14ac:dyDescent="0.25">
      <c r="A21" s="23">
        <v>-0.1</v>
      </c>
      <c r="B21" s="52"/>
      <c r="C21" s="53"/>
      <c r="D21" s="52">
        <v>-96799.733839309745</v>
      </c>
      <c r="E21" s="10">
        <v>-6.717129407454947E-2</v>
      </c>
    </row>
    <row r="22" spans="1:5" x14ac:dyDescent="0.25">
      <c r="A22" s="9" t="s">
        <v>193</v>
      </c>
      <c r="B22" s="53"/>
      <c r="C22" s="53"/>
      <c r="D22" s="53">
        <v>3.8140000000000001</v>
      </c>
      <c r="E22" s="10"/>
    </row>
    <row r="23" spans="1:5" x14ac:dyDescent="0.25">
      <c r="B23" s="52"/>
      <c r="D23" s="52"/>
    </row>
    <row r="24" spans="1:5" x14ac:dyDescent="0.25">
      <c r="A24" s="51" t="s">
        <v>195</v>
      </c>
      <c r="B24" s="54"/>
      <c r="C24" s="53"/>
      <c r="D24" s="54"/>
      <c r="E24" s="10"/>
    </row>
    <row r="25" spans="1:5" x14ac:dyDescent="0.25">
      <c r="A25" s="23">
        <v>0.1</v>
      </c>
      <c r="B25" s="52">
        <v>-145627.80456171787</v>
      </c>
      <c r="C25" s="53">
        <v>-8.1610195979163302E-2</v>
      </c>
      <c r="D25" s="52">
        <v>-117257.75371647711</v>
      </c>
      <c r="E25" s="10">
        <v>-8.1610195979163302E-2</v>
      </c>
    </row>
    <row r="26" spans="1:5" x14ac:dyDescent="0.25">
      <c r="A26" s="23">
        <v>-0.1</v>
      </c>
      <c r="B26" s="52">
        <v>-97208.470375706063</v>
      </c>
      <c r="C26" s="53">
        <v>-5.0456199799482349E-2</v>
      </c>
      <c r="D26" s="52">
        <v>-70835.634305950443</v>
      </c>
      <c r="E26" s="10">
        <v>-5.0456199799482349E-2</v>
      </c>
    </row>
    <row r="27" spans="1:5" x14ac:dyDescent="0.25">
      <c r="A27" s="9" t="s">
        <v>193</v>
      </c>
      <c r="B27" s="53">
        <v>-0.46250000000000002</v>
      </c>
      <c r="C27" s="53"/>
      <c r="D27" s="53">
        <v>-0.36399999999999999</v>
      </c>
      <c r="E27" s="10"/>
    </row>
    <row r="30" spans="1:5" x14ac:dyDescent="0.25">
      <c r="A30" s="67" t="s">
        <v>140</v>
      </c>
      <c r="B30" s="67"/>
      <c r="D30" s="68" t="s">
        <v>141</v>
      </c>
      <c r="E30" s="68"/>
    </row>
    <row r="31" spans="1:5" x14ac:dyDescent="0.25">
      <c r="A31" s="67"/>
      <c r="B31" s="67"/>
      <c r="D31" s="68"/>
      <c r="E31" s="68"/>
    </row>
    <row r="33" spans="2:5" hidden="1" x14ac:dyDescent="0.25">
      <c r="B33" s="52">
        <f>+FinaIndicators!$E$43</f>
        <v>-86414.76378800573</v>
      </c>
      <c r="C33" s="53">
        <f>+FinaIndicators!$E$44</f>
        <v>-1.7421223413569775E-2</v>
      </c>
      <c r="D33" s="52">
        <f>+'FinInd+CO2'!$E$44</f>
        <v>-38356.883481571342</v>
      </c>
      <c r="E33" s="10">
        <f>+FinaIndicators!$E$44</f>
        <v>-1.7421223413569775E-2</v>
      </c>
    </row>
  </sheetData>
  <sheetProtection selectLockedCells="1"/>
  <mergeCells count="4">
    <mergeCell ref="F3:I3"/>
    <mergeCell ref="A30:B31"/>
    <mergeCell ref="D30:E31"/>
    <mergeCell ref="A7:D7"/>
  </mergeCells>
  <hyperlinks>
    <hyperlink ref="A30:B31" location="LCoEE!I1" display="NAZAD"/>
    <hyperlink ref="D30:E31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G19" sqref="G19"/>
    </sheetView>
  </sheetViews>
  <sheetFormatPr defaultRowHeight="15" x14ac:dyDescent="0.25"/>
  <cols>
    <col min="5" max="5" width="12.140625" customWidth="1"/>
  </cols>
  <sheetData>
    <row r="3" spans="1:25" ht="16.5" x14ac:dyDescent="0.35">
      <c r="F3" s="63" t="s">
        <v>160</v>
      </c>
      <c r="G3" s="63"/>
      <c r="H3" s="63"/>
      <c r="I3" s="63"/>
    </row>
    <row r="7" spans="1:25" ht="18.75" customHeight="1" x14ac:dyDescent="0.25">
      <c r="A7" s="65" t="s">
        <v>142</v>
      </c>
      <c r="B7" s="65"/>
      <c r="C7" s="65"/>
      <c r="D7" s="65"/>
      <c r="I7" s="67" t="s">
        <v>140</v>
      </c>
      <c r="J7" s="67"/>
      <c r="N7" s="84" t="s">
        <v>141</v>
      </c>
      <c r="O7" s="84"/>
    </row>
    <row r="8" spans="1:25" x14ac:dyDescent="0.25">
      <c r="A8" s="65"/>
      <c r="B8" s="65"/>
      <c r="C8" s="65"/>
      <c r="D8" s="65"/>
      <c r="I8" s="67"/>
      <c r="J8" s="67"/>
      <c r="N8" s="84"/>
      <c r="O8" s="84"/>
    </row>
    <row r="10" spans="1:25" x14ac:dyDescent="0.25">
      <c r="A10" s="72" t="s">
        <v>133</v>
      </c>
      <c r="B10" s="72"/>
      <c r="C10" s="72"/>
      <c r="D10" s="72"/>
      <c r="E10" s="20"/>
      <c r="F10" s="20">
        <f>IF(E10&lt;&gt;UnosPodataka!$M$21,E10+1,"")</f>
        <v>1</v>
      </c>
      <c r="G10" s="20">
        <f>IF(F10&lt;&gt;UnosPodataka!$M$21,F10+1,"")</f>
        <v>2</v>
      </c>
      <c r="H10" s="20">
        <f>IF(G10&lt;&gt;UnosPodataka!$M$21,G10+1,"")</f>
        <v>3</v>
      </c>
      <c r="I10" s="20">
        <f>IF(H10&lt;&gt;UnosPodataka!$M$21,H10+1,"")</f>
        <v>4</v>
      </c>
      <c r="J10" s="20">
        <f>IF(I10&lt;&gt;UnosPodataka!$M$21,I10+1,"")</f>
        <v>5</v>
      </c>
      <c r="K10" s="20">
        <f>IF(J10&lt;&gt;UnosPodataka!$M$21,J10+1,"")</f>
        <v>6</v>
      </c>
      <c r="L10" s="20">
        <f>IF(K10&lt;&gt;UnosPodataka!$M$21,K10+1,"")</f>
        <v>7</v>
      </c>
      <c r="M10" s="20">
        <f>IF(L10&lt;&gt;UnosPodataka!$M$21,L10+1,"")</f>
        <v>8</v>
      </c>
      <c r="N10" s="20">
        <f>IF(M10&lt;&gt;UnosPodataka!$M$21,M10+1,"")</f>
        <v>9</v>
      </c>
      <c r="O10" s="20">
        <f>IF(N10&lt;&gt;UnosPodataka!$M$21,N10+1,"")</f>
        <v>10</v>
      </c>
      <c r="P10" s="20">
        <f>IF(O10&lt;&gt;UnosPodataka!$M$21,O10+1,"")</f>
        <v>11</v>
      </c>
      <c r="Q10" s="20">
        <f>IF(P10&lt;&gt;UnosPodataka!$M$21,P10+1,"")</f>
        <v>12</v>
      </c>
      <c r="R10" s="20">
        <f>IF(Q10&lt;&gt;UnosPodataka!$M$21,Q10+1,"")</f>
        <v>13</v>
      </c>
      <c r="S10" s="20">
        <f>IF(R10&lt;&gt;UnosPodataka!$M$21,R10+1,"")</f>
        <v>14</v>
      </c>
      <c r="T10" s="20">
        <f>IF(S10&lt;&gt;UnosPodataka!$M$21,S10+1,"")</f>
        <v>15</v>
      </c>
      <c r="U10" s="20">
        <f>IF(T10&lt;&gt;UnosPodataka!$M$21,T10+1,"")</f>
        <v>16</v>
      </c>
      <c r="V10" s="20">
        <f>IF(U10&lt;&gt;UnosPodataka!$M$21,U10+1,"")</f>
        <v>17</v>
      </c>
      <c r="W10" s="20">
        <f>IF(V10&lt;&gt;UnosPodataka!$M$21,V10+1,"")</f>
        <v>18</v>
      </c>
      <c r="X10" s="20">
        <f>IF(W10&lt;&gt;UnosPodataka!$M$21,W10+1,"")</f>
        <v>19</v>
      </c>
      <c r="Y10" s="20">
        <f>IF(X10&lt;&gt;UnosPodataka!$M$21,X10+1,"")</f>
        <v>20</v>
      </c>
    </row>
    <row r="12" spans="1:25" x14ac:dyDescent="0.25">
      <c r="A12" s="73" t="s">
        <v>153</v>
      </c>
      <c r="B12" s="73"/>
      <c r="C12" s="73"/>
      <c r="D12" s="73"/>
      <c r="E12" s="4">
        <v>0</v>
      </c>
      <c r="F12" s="4">
        <f>IF(F10&lt;&gt;"",-FinaIndicators!F27,"")</f>
        <v>1641.7239274265053</v>
      </c>
      <c r="G12" s="4">
        <f>IF(G10&lt;&gt;"",-FinaIndicators!G27,"")</f>
        <v>1641.7239274265053</v>
      </c>
      <c r="H12" s="4">
        <f>IF(H10&lt;&gt;"",-FinaIndicators!H27,"")</f>
        <v>1641.7239274265053</v>
      </c>
      <c r="I12" s="4">
        <f>IF(I10&lt;&gt;"",-FinaIndicators!I27,"")</f>
        <v>1641.7239274265053</v>
      </c>
      <c r="J12" s="4">
        <f>IF(J10&lt;&gt;"",-FinaIndicators!J27,"")</f>
        <v>1641.7239274265053</v>
      </c>
      <c r="K12" s="4">
        <f>IF(K10&lt;&gt;"",-FinaIndicators!K27,"")</f>
        <v>1641.7239274265053</v>
      </c>
      <c r="L12" s="4">
        <f>IF(L10&lt;&gt;"",-FinaIndicators!L27,"")</f>
        <v>1641.7239274265053</v>
      </c>
      <c r="M12" s="4">
        <f>IF(M10&lt;&gt;"",-FinaIndicators!M27,"")</f>
        <v>1641.7239274265053</v>
      </c>
      <c r="N12" s="4">
        <f>IF(N10&lt;&gt;"",-FinaIndicators!N27,"")</f>
        <v>1641.7239274265053</v>
      </c>
      <c r="O12" s="4">
        <f>IF(O10&lt;&gt;"",-FinaIndicators!O27,"")</f>
        <v>1641.7239274265053</v>
      </c>
      <c r="P12" s="4">
        <f>IF(P10&lt;&gt;"",-FinaIndicators!P27,"")</f>
        <v>1641.7239274265053</v>
      </c>
      <c r="Q12" s="4">
        <f>IF(Q10&lt;&gt;"",-FinaIndicators!Q27,"")</f>
        <v>1641.7239274265053</v>
      </c>
      <c r="R12" s="4">
        <f>IF(R10&lt;&gt;"",-FinaIndicators!R27,"")</f>
        <v>1641.7239274265053</v>
      </c>
      <c r="S12" s="4">
        <f>IF(S10&lt;&gt;"",-FinaIndicators!S27,"")</f>
        <v>1641.7239274265053</v>
      </c>
      <c r="T12" s="4">
        <f>IF(T10&lt;&gt;"",-FinaIndicators!T27,"")</f>
        <v>1641.7239274265053</v>
      </c>
      <c r="U12" s="4">
        <f>IF(U10&lt;&gt;"",-FinaIndicators!U27,"")</f>
        <v>1641.7239274265053</v>
      </c>
      <c r="V12" s="4">
        <f>IF(V10&lt;&gt;"",-FinaIndicators!V27,"")</f>
        <v>1641.7239274265053</v>
      </c>
      <c r="W12" s="4">
        <f>IF(W10&lt;&gt;"",-FinaIndicators!W27,"")</f>
        <v>1641.7239274265053</v>
      </c>
      <c r="X12" s="4">
        <f>IF(X10&lt;&gt;"",-FinaIndicators!X27,"")</f>
        <v>1641.7239274265053</v>
      </c>
      <c r="Y12" s="4">
        <f>IF(Y10&lt;&gt;"",-FinaIndicators!Y27,"")</f>
        <v>1641.7239274265053</v>
      </c>
    </row>
    <row r="13" spans="1:25" x14ac:dyDescent="0.25">
      <c r="A13" s="73" t="s">
        <v>144</v>
      </c>
      <c r="B13" s="73"/>
      <c r="C13" s="73"/>
      <c r="D13" s="73"/>
      <c r="E13" s="4">
        <v>0</v>
      </c>
      <c r="F13" s="4">
        <f>IF(F10&lt;&gt;"",F12*(1+UnosPodataka!$M$15)^(-F10),"")</f>
        <v>1548.7961579495332</v>
      </c>
      <c r="G13" s="4">
        <f>IF(G10&lt;&gt;"",G12*(1+UnosPodataka!$M$15)^(-G10),"")</f>
        <v>1461.1284508957858</v>
      </c>
      <c r="H13" s="4">
        <f>IF(H10&lt;&gt;"",H12*(1+UnosPodataka!$M$15)^(-H10),"")</f>
        <v>1378.4230668828168</v>
      </c>
      <c r="I13" s="4">
        <f>IF(I10&lt;&gt;"",I12*(1+UnosPodataka!$M$15)^(-I10),"")</f>
        <v>1300.3991197007706</v>
      </c>
      <c r="J13" s="4">
        <f>IF(J10&lt;&gt;"",J12*(1+UnosPodataka!$M$15)^(-J10),"")</f>
        <v>1226.7916223592174</v>
      </c>
      <c r="K13" s="4">
        <f>IF(K10&lt;&gt;"",K12*(1+UnosPodataka!$M$15)^(-K10),"")</f>
        <v>1157.3505871313371</v>
      </c>
      <c r="L13" s="4">
        <f>IF(L10&lt;&gt;"",L12*(1+UnosPodataka!$M$15)^(-L10),"")</f>
        <v>1091.840176538997</v>
      </c>
      <c r="M13" s="4">
        <f>IF(M10&lt;&gt;"",M12*(1+UnosPodataka!$M$15)^(-M10),"")</f>
        <v>1030.0379023952803</v>
      </c>
      <c r="N13" s="4">
        <f>IF(N10&lt;&gt;"",N12*(1+UnosPodataka!$M$15)^(-N10),"")</f>
        <v>971.7338701842267</v>
      </c>
      <c r="O13" s="4">
        <f>IF(O10&lt;&gt;"",O12*(1+UnosPodataka!$M$15)^(-O10),"")</f>
        <v>916.73006621153456</v>
      </c>
      <c r="P13" s="4">
        <f>IF(P10&lt;&gt;"",P12*(1+UnosPodataka!$M$15)^(-P10),"")</f>
        <v>864.83968510522118</v>
      </c>
      <c r="Q13" s="4">
        <f>IF(Q10&lt;&gt;"",Q12*(1+UnosPodataka!$M$15)^(-Q10),"")</f>
        <v>815.88649538228412</v>
      </c>
      <c r="R13" s="4">
        <f>IF(R10&lt;&gt;"",R12*(1+UnosPodataka!$M$15)^(-R10),"")</f>
        <v>769.70424092668304</v>
      </c>
      <c r="S13" s="4">
        <f>IF(S10&lt;&gt;"",S12*(1+UnosPodataka!$M$15)^(-S10),"")</f>
        <v>726.13607634592745</v>
      </c>
      <c r="T13" s="4">
        <f>IF(T10&lt;&gt;"",T12*(1+UnosPodataka!$M$15)^(-T10),"")</f>
        <v>685.03403428861054</v>
      </c>
      <c r="U13" s="4">
        <f>IF(U10&lt;&gt;"",U12*(1+UnosPodataka!$M$15)^(-U10),"")</f>
        <v>646.25852291378374</v>
      </c>
      <c r="V13" s="4">
        <f>IF(V10&lt;&gt;"",V12*(1+UnosPodataka!$M$15)^(-V10),"")</f>
        <v>609.67785180545627</v>
      </c>
      <c r="W13" s="4">
        <f>IF(W10&lt;&gt;"",W12*(1+UnosPodataka!$M$15)^(-W10),"")</f>
        <v>575.16778472212854</v>
      </c>
      <c r="X13" s="4">
        <f>IF(X10&lt;&gt;"",X12*(1+UnosPodataka!$M$15)^(-X10),"")</f>
        <v>542.61111766238537</v>
      </c>
      <c r="Y13" s="4">
        <f>IF(Y10&lt;&gt;"",Y12*(1+UnosPodataka!$M$15)^(-Y10),"")</f>
        <v>511.89728081357117</v>
      </c>
    </row>
    <row r="15" spans="1:25" x14ac:dyDescent="0.25">
      <c r="A15" s="72" t="s">
        <v>33</v>
      </c>
      <c r="B15" s="72"/>
      <c r="C15" s="72"/>
      <c r="D15" s="72"/>
      <c r="E15" s="22">
        <f>NPV(UnosPodataka!$M$15,AkoESCO!E12:Y12)</f>
        <v>17764.569915297689</v>
      </c>
    </row>
    <row r="16" spans="1:25" x14ac:dyDescent="0.25">
      <c r="A16" s="72" t="s">
        <v>34</v>
      </c>
      <c r="B16" s="72"/>
      <c r="C16" s="72"/>
      <c r="D16" s="72"/>
      <c r="E16" s="9" t="s">
        <v>145</v>
      </c>
    </row>
  </sheetData>
  <mergeCells count="9">
    <mergeCell ref="F3:I3"/>
    <mergeCell ref="I7:J8"/>
    <mergeCell ref="N7:O8"/>
    <mergeCell ref="A15:D15"/>
    <mergeCell ref="A16:D16"/>
    <mergeCell ref="A7:D8"/>
    <mergeCell ref="A10:D10"/>
    <mergeCell ref="A12:D12"/>
    <mergeCell ref="A13:D13"/>
  </mergeCells>
  <hyperlinks>
    <hyperlink ref="N7:O8" location="ESCOGrafFina!A1" display="DALJE"/>
    <hyperlink ref="I7:J8" location="SALCoEE!A10" display="NAZAD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18" sqref="D18"/>
    </sheetView>
  </sheetViews>
  <sheetFormatPr defaultRowHeight="15" x14ac:dyDescent="0.25"/>
  <sheetData>
    <row r="3" spans="1:9" ht="16.5" x14ac:dyDescent="0.35">
      <c r="F3" s="63" t="s">
        <v>160</v>
      </c>
      <c r="G3" s="63"/>
      <c r="H3" s="63"/>
      <c r="I3" s="63"/>
    </row>
    <row r="7" spans="1:9" x14ac:dyDescent="0.25">
      <c r="A7" s="65" t="s">
        <v>143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140</v>
      </c>
      <c r="B11" s="67"/>
      <c r="D11" s="68" t="s">
        <v>141</v>
      </c>
      <c r="E11" s="68"/>
    </row>
    <row r="12" spans="1:9" x14ac:dyDescent="0.25">
      <c r="A12" s="67"/>
      <c r="B12" s="67"/>
      <c r="D12" s="68"/>
      <c r="E12" s="68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V29" sqref="V29"/>
    </sheetView>
  </sheetViews>
  <sheetFormatPr defaultRowHeight="15" x14ac:dyDescent="0.25"/>
  <sheetData>
    <row r="3" spans="1:9" ht="16.5" x14ac:dyDescent="0.35">
      <c r="F3" s="63" t="s">
        <v>160</v>
      </c>
      <c r="G3" s="63"/>
      <c r="H3" s="63"/>
      <c r="I3" s="63"/>
    </row>
    <row r="7" spans="1:9" x14ac:dyDescent="0.25">
      <c r="A7" s="65" t="s">
        <v>151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B9" s="72" t="s">
        <v>37</v>
      </c>
      <c r="C9" s="72"/>
      <c r="D9" s="72"/>
      <c r="E9" s="74" t="str">
        <f>PROJEKAT</f>
        <v>Termoizolacija omotača zgrade</v>
      </c>
      <c r="F9" s="74"/>
      <c r="G9" s="74"/>
      <c r="H9" s="74"/>
      <c r="I9" s="74"/>
    </row>
    <row r="10" spans="1:9" x14ac:dyDescent="0.25">
      <c r="B10" s="72" t="s">
        <v>146</v>
      </c>
      <c r="C10" s="72"/>
      <c r="D10" s="72"/>
      <c r="E10" s="85">
        <f>Investment</f>
        <v>122350</v>
      </c>
      <c r="F10" s="85"/>
      <c r="G10" s="85"/>
      <c r="H10" s="85"/>
      <c r="I10" s="85"/>
    </row>
    <row r="11" spans="1:9" x14ac:dyDescent="0.25">
      <c r="B11" s="72" t="s">
        <v>147</v>
      </c>
      <c r="C11" s="72"/>
      <c r="D11" s="72"/>
      <c r="E11" s="85">
        <f>SUM(UnosPodataka!F17:F23)-EQUITY</f>
        <v>40000</v>
      </c>
      <c r="F11" s="85"/>
      <c r="G11" s="85"/>
      <c r="H11" s="85"/>
      <c r="I11" s="85"/>
    </row>
    <row r="12" spans="1:9" x14ac:dyDescent="0.25">
      <c r="B12" s="72" t="s">
        <v>114</v>
      </c>
      <c r="C12" s="72"/>
      <c r="D12" s="72"/>
      <c r="E12" s="85">
        <f>EQUITY</f>
        <v>3000</v>
      </c>
      <c r="F12" s="85"/>
      <c r="G12" s="85"/>
      <c r="H12" s="85"/>
      <c r="I12" s="85"/>
    </row>
    <row r="13" spans="1:9" x14ac:dyDescent="0.25">
      <c r="B13" s="72" t="s">
        <v>113</v>
      </c>
      <c r="C13" s="72"/>
      <c r="D13" s="72"/>
      <c r="E13" s="85">
        <f>LOAN</f>
        <v>79350</v>
      </c>
      <c r="F13" s="85"/>
      <c r="G13" s="85"/>
      <c r="H13" s="85"/>
      <c r="I13" s="85"/>
    </row>
    <row r="14" spans="1:9" x14ac:dyDescent="0.25">
      <c r="B14" s="72" t="s">
        <v>148</v>
      </c>
      <c r="C14" s="72"/>
      <c r="D14" s="72"/>
      <c r="E14" s="85">
        <f>LCoE</f>
        <v>84.405731642007439</v>
      </c>
      <c r="F14" s="85"/>
      <c r="G14" s="85"/>
      <c r="H14" s="85"/>
      <c r="I14" s="85"/>
    </row>
    <row r="15" spans="1:9" x14ac:dyDescent="0.25">
      <c r="B15" s="72" t="s">
        <v>149</v>
      </c>
      <c r="C15" s="72"/>
      <c r="D15" s="72"/>
      <c r="E15" s="85">
        <f>FNPV</f>
        <v>-86414.76378800573</v>
      </c>
      <c r="F15" s="85"/>
      <c r="G15" s="85"/>
      <c r="H15" s="85"/>
      <c r="I15" s="85"/>
    </row>
    <row r="16" spans="1:9" x14ac:dyDescent="0.25">
      <c r="B16" s="72" t="s">
        <v>150</v>
      </c>
      <c r="C16" s="72"/>
      <c r="D16" s="72"/>
      <c r="E16" s="86">
        <f>FIRR</f>
        <v>-1.7421223413569775E-2</v>
      </c>
      <c r="F16" s="86"/>
      <c r="G16" s="86"/>
      <c r="H16" s="86"/>
      <c r="I16" s="86"/>
    </row>
    <row r="17" spans="2:9" x14ac:dyDescent="0.25">
      <c r="B17" s="72" t="s">
        <v>197</v>
      </c>
      <c r="C17" s="72"/>
      <c r="D17" s="72"/>
      <c r="E17" s="85">
        <f>+'FinInd+CO2'!E44</f>
        <v>-38356.883481571342</v>
      </c>
      <c r="F17" s="85"/>
      <c r="G17" s="85"/>
      <c r="H17" s="85"/>
      <c r="I17" s="85"/>
    </row>
    <row r="18" spans="2:9" x14ac:dyDescent="0.25">
      <c r="B18" s="72" t="s">
        <v>198</v>
      </c>
      <c r="C18" s="72"/>
      <c r="D18" s="72"/>
      <c r="E18" s="86">
        <f>+'FinInd+CO2'!E45</f>
        <v>3.9488616714188352E-2</v>
      </c>
      <c r="F18" s="74"/>
      <c r="G18" s="74"/>
      <c r="H18" s="74"/>
      <c r="I18" s="74"/>
    </row>
    <row r="20" spans="2:9" x14ac:dyDescent="0.25">
      <c r="B20" s="67" t="s">
        <v>140</v>
      </c>
      <c r="C20" s="67"/>
    </row>
    <row r="21" spans="2:9" x14ac:dyDescent="0.25">
      <c r="B21" s="67"/>
      <c r="C21" s="67"/>
    </row>
  </sheetData>
  <mergeCells count="23">
    <mergeCell ref="B20:C21"/>
    <mergeCell ref="A7:D8"/>
    <mergeCell ref="B15:D15"/>
    <mergeCell ref="B16:D16"/>
    <mergeCell ref="B17:D17"/>
    <mergeCell ref="B18:D18"/>
    <mergeCell ref="B9:D9"/>
    <mergeCell ref="B10:D10"/>
    <mergeCell ref="B11:D11"/>
    <mergeCell ref="B12:D12"/>
    <mergeCell ref="B13:D13"/>
    <mergeCell ref="B14:D14"/>
    <mergeCell ref="F3:I3"/>
    <mergeCell ref="E15:I15"/>
    <mergeCell ref="E16:I16"/>
    <mergeCell ref="E17:I17"/>
    <mergeCell ref="E18:I18"/>
    <mergeCell ref="E14:I14"/>
    <mergeCell ref="E9:I9"/>
    <mergeCell ref="E10:I10"/>
    <mergeCell ref="E11:I11"/>
    <mergeCell ref="E12:I12"/>
    <mergeCell ref="E13:I13"/>
  </mergeCells>
  <hyperlinks>
    <hyperlink ref="B20:C21" location="ESCOGrafFina!A5" display="NAZAD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B9" sqref="B9:C23"/>
    </sheetView>
  </sheetViews>
  <sheetFormatPr defaultRowHeight="15" x14ac:dyDescent="0.25"/>
  <sheetData>
    <row r="7" spans="2:3" ht="21" x14ac:dyDescent="0.35">
      <c r="B7" s="62" t="s">
        <v>211</v>
      </c>
    </row>
    <row r="8" spans="2:3" ht="18" x14ac:dyDescent="0.35">
      <c r="C8" s="55" t="s">
        <v>212</v>
      </c>
    </row>
    <row r="9" spans="2:3" x14ac:dyDescent="0.25">
      <c r="B9" t="s">
        <v>21</v>
      </c>
      <c r="C9" s="36">
        <v>0.4</v>
      </c>
    </row>
    <row r="10" spans="2:3" x14ac:dyDescent="0.25">
      <c r="B10" t="s">
        <v>20</v>
      </c>
      <c r="C10" s="36">
        <v>0.33</v>
      </c>
    </row>
    <row r="11" spans="2:3" x14ac:dyDescent="0.25">
      <c r="B11" t="s">
        <v>213</v>
      </c>
      <c r="C11" s="36">
        <v>0.34</v>
      </c>
    </row>
    <row r="12" spans="2:3" x14ac:dyDescent="0.25">
      <c r="B12" t="s">
        <v>214</v>
      </c>
      <c r="C12" s="36">
        <v>0.27</v>
      </c>
    </row>
    <row r="13" spans="2:3" x14ac:dyDescent="0.25">
      <c r="B13" t="s">
        <v>17</v>
      </c>
      <c r="C13" s="36">
        <v>0.28000000000000003</v>
      </c>
    </row>
    <row r="14" spans="2:3" x14ac:dyDescent="0.25">
      <c r="B14" t="s">
        <v>14</v>
      </c>
      <c r="C14" s="36">
        <v>0.2</v>
      </c>
    </row>
    <row r="15" spans="2:3" x14ac:dyDescent="0.25">
      <c r="B15" t="s">
        <v>215</v>
      </c>
      <c r="C15" s="36">
        <v>0.22</v>
      </c>
    </row>
    <row r="16" spans="2:3" x14ac:dyDescent="0.25">
      <c r="B16" t="s">
        <v>216</v>
      </c>
      <c r="C16" s="36">
        <v>0.49399999999999999</v>
      </c>
    </row>
    <row r="17" spans="2:3" x14ac:dyDescent="0.25">
      <c r="B17" t="s">
        <v>217</v>
      </c>
      <c r="C17" s="36">
        <v>0</v>
      </c>
    </row>
    <row r="18" spans="2:3" x14ac:dyDescent="0.25">
      <c r="B18" t="s">
        <v>218</v>
      </c>
      <c r="C18" s="36">
        <v>0.04</v>
      </c>
    </row>
    <row r="19" spans="2:3" x14ac:dyDescent="0.25">
      <c r="B19" t="s">
        <v>219</v>
      </c>
      <c r="C19" s="36">
        <v>0.28999999999999998</v>
      </c>
    </row>
    <row r="20" spans="2:3" x14ac:dyDescent="0.25">
      <c r="B20" t="s">
        <v>18</v>
      </c>
      <c r="C20" s="36">
        <v>0.8</v>
      </c>
    </row>
    <row r="21" spans="2:3" x14ac:dyDescent="0.25">
      <c r="B21" t="s">
        <v>220</v>
      </c>
      <c r="C21" s="36">
        <v>0</v>
      </c>
    </row>
    <row r="22" spans="2:3" x14ac:dyDescent="0.25">
      <c r="B22" t="s">
        <v>208</v>
      </c>
    </row>
    <row r="23" spans="2:3" x14ac:dyDescent="0.25">
      <c r="B23" t="s">
        <v>221</v>
      </c>
      <c r="C23" s="36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J11" sqref="J11"/>
    </sheetView>
  </sheetViews>
  <sheetFormatPr defaultRowHeight="15" x14ac:dyDescent="0.25"/>
  <cols>
    <col min="2" max="2" width="24.7109375" customWidth="1"/>
  </cols>
  <sheetData>
    <row r="3" spans="2:7" ht="16.5" x14ac:dyDescent="0.35">
      <c r="D3" s="63" t="s">
        <v>160</v>
      </c>
      <c r="E3" s="63"/>
      <c r="F3" s="63"/>
      <c r="G3" s="63"/>
    </row>
    <row r="7" spans="2:7" ht="21" x14ac:dyDescent="0.35">
      <c r="B7" s="70" t="s">
        <v>201</v>
      </c>
      <c r="C7" s="70"/>
      <c r="D7" s="70"/>
      <c r="E7" s="70"/>
      <c r="F7" s="70"/>
      <c r="G7" s="70"/>
    </row>
    <row r="8" spans="2:7" x14ac:dyDescent="0.25">
      <c r="B8" s="55"/>
      <c r="C8" s="55"/>
      <c r="D8" s="55"/>
      <c r="E8" s="55"/>
      <c r="F8" s="55"/>
      <c r="G8" s="55"/>
    </row>
    <row r="9" spans="2:7" x14ac:dyDescent="0.25">
      <c r="B9" s="71" t="s">
        <v>202</v>
      </c>
      <c r="C9" s="71" t="s">
        <v>203</v>
      </c>
      <c r="D9" s="71" t="s">
        <v>204</v>
      </c>
      <c r="E9" s="71" t="s">
        <v>205</v>
      </c>
    </row>
    <row r="10" spans="2:7" x14ac:dyDescent="0.25">
      <c r="B10" s="71"/>
      <c r="C10" s="71"/>
      <c r="D10" s="71"/>
      <c r="E10" s="71"/>
    </row>
    <row r="11" spans="2:7" ht="18" x14ac:dyDescent="0.35">
      <c r="B11" s="24"/>
      <c r="C11" s="56" t="s">
        <v>30</v>
      </c>
      <c r="D11" s="56" t="s">
        <v>206</v>
      </c>
      <c r="E11" s="56" t="s">
        <v>207</v>
      </c>
    </row>
    <row r="12" spans="2:7" x14ac:dyDescent="0.25">
      <c r="B12" s="57" t="s">
        <v>217</v>
      </c>
      <c r="C12" s="58">
        <v>36000</v>
      </c>
      <c r="D12" s="59">
        <f>IF(B12&lt;&gt;"Gorivo",VLOOKUP(B12,[1]Goriva!B9:C23,2,FALSE),"")</f>
        <v>0</v>
      </c>
      <c r="E12" s="60">
        <f>IF(B12&lt;&gt;"Gorivo",C12*D12,"")</f>
        <v>0</v>
      </c>
    </row>
    <row r="13" spans="2:7" x14ac:dyDescent="0.25">
      <c r="B13" s="57" t="s">
        <v>208</v>
      </c>
      <c r="C13" s="58">
        <v>6000</v>
      </c>
      <c r="D13" s="59" t="str">
        <f>IF(B13&lt;&gt;"Gorivo",VLOOKUP(B13,[1]Goriva!B9:C23,2,FALSE),"")</f>
        <v/>
      </c>
      <c r="E13" s="60" t="str">
        <f t="shared" ref="E13:E17" si="0">IF(B13&lt;&gt;"Gorivo",C13*D13,"")</f>
        <v/>
      </c>
    </row>
    <row r="14" spans="2:7" x14ac:dyDescent="0.25">
      <c r="B14" s="57" t="s">
        <v>208</v>
      </c>
      <c r="C14" s="58"/>
      <c r="D14" s="59" t="str">
        <f>IF(B14&lt;&gt;"Gorivo",VLOOKUP(B14,[1]Goriva!B9:C23,2,FALSE),"")</f>
        <v/>
      </c>
      <c r="E14" s="60" t="str">
        <f t="shared" si="0"/>
        <v/>
      </c>
    </row>
    <row r="15" spans="2:7" x14ac:dyDescent="0.25">
      <c r="B15" s="57" t="s">
        <v>208</v>
      </c>
      <c r="C15" s="58"/>
      <c r="D15" s="59" t="str">
        <f>IF(B15&lt;&gt;"Gorivo",VLOOKUP(B15,[1]Goriva!B9:C23,2,FALSE),"")</f>
        <v/>
      </c>
      <c r="E15" s="60" t="str">
        <f t="shared" si="0"/>
        <v/>
      </c>
    </row>
    <row r="16" spans="2:7" x14ac:dyDescent="0.25">
      <c r="B16" s="57" t="s">
        <v>208</v>
      </c>
      <c r="C16" s="58"/>
      <c r="D16" s="59" t="str">
        <f>IF(B16&lt;&gt;"Gorivo",VLOOKUP(B16,[1]Goriva!B9:C23,2,FALSE),"")</f>
        <v/>
      </c>
      <c r="E16" s="60" t="str">
        <f t="shared" si="0"/>
        <v/>
      </c>
    </row>
    <row r="17" spans="2:5" x14ac:dyDescent="0.25">
      <c r="B17" s="57" t="s">
        <v>221</v>
      </c>
      <c r="C17" s="58">
        <v>3400</v>
      </c>
      <c r="D17" s="59">
        <f>IF(B17&lt;&gt;"Gorivo",VLOOKUP(B17,[1]Goriva!B9:C23,2,FALSE),"")</f>
        <v>0.22</v>
      </c>
      <c r="E17" s="60">
        <f t="shared" si="0"/>
        <v>748</v>
      </c>
    </row>
    <row r="18" spans="2:5" x14ac:dyDescent="0.25">
      <c r="B18" s="24" t="s">
        <v>71</v>
      </c>
      <c r="C18" s="60">
        <f>SUM(C12:C17)</f>
        <v>45400</v>
      </c>
      <c r="D18" s="59"/>
      <c r="E18" s="60">
        <f>SUM(E12:E17)</f>
        <v>748</v>
      </c>
    </row>
    <row r="20" spans="2:5" ht="18" x14ac:dyDescent="0.35">
      <c r="B20" s="69" t="s">
        <v>209</v>
      </c>
      <c r="C20" s="69"/>
      <c r="D20" s="69"/>
      <c r="E20" s="56" t="s">
        <v>210</v>
      </c>
    </row>
    <row r="21" spans="2:5" x14ac:dyDescent="0.25">
      <c r="B21" s="69"/>
      <c r="C21" s="69"/>
      <c r="D21" s="69"/>
      <c r="E21" s="61">
        <f>E18/C18</f>
        <v>1.6475770925110132E-2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AJ39"/>
  <sheetViews>
    <sheetView topLeftCell="G1" workbookViewId="0">
      <selection activeCell="W12" sqref="W12"/>
    </sheetView>
  </sheetViews>
  <sheetFormatPr defaultRowHeight="15" x14ac:dyDescent="0.25"/>
  <cols>
    <col min="2" max="2" width="36.42578125" customWidth="1"/>
    <col min="7" max="7" width="10.28515625" customWidth="1"/>
    <col min="11" max="11" width="10.140625" bestFit="1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63" t="s">
        <v>160</v>
      </c>
      <c r="D3" s="63"/>
      <c r="E3" s="63"/>
      <c r="F3" s="63"/>
    </row>
    <row r="7" spans="1:36" ht="15" customHeight="1" x14ac:dyDescent="0.25">
      <c r="A7" s="20" t="s">
        <v>37</v>
      </c>
      <c r="B7" t="s">
        <v>38</v>
      </c>
      <c r="E7">
        <v>1</v>
      </c>
      <c r="G7" s="24" t="s">
        <v>11</v>
      </c>
      <c r="H7" t="s">
        <v>55</v>
      </c>
      <c r="M7" s="24" t="s">
        <v>3</v>
      </c>
      <c r="N7" t="s">
        <v>4</v>
      </c>
      <c r="S7" s="72" t="s">
        <v>77</v>
      </c>
      <c r="T7" s="72"/>
      <c r="U7" s="72"/>
      <c r="W7" s="24" t="s">
        <v>24</v>
      </c>
      <c r="X7" s="24"/>
      <c r="Y7" s="24" t="s">
        <v>25</v>
      </c>
      <c r="Z7" s="24"/>
      <c r="AA7" s="24" t="s">
        <v>26</v>
      </c>
      <c r="AB7" s="24"/>
      <c r="AC7" s="24"/>
      <c r="AD7" s="66" t="s">
        <v>84</v>
      </c>
      <c r="AE7" s="66"/>
      <c r="AF7" s="66"/>
      <c r="AG7" s="66"/>
    </row>
    <row r="8" spans="1:36" x14ac:dyDescent="0.25">
      <c r="B8" t="s">
        <v>39</v>
      </c>
      <c r="E8">
        <v>2</v>
      </c>
      <c r="H8" t="s">
        <v>56</v>
      </c>
      <c r="N8" t="s">
        <v>5</v>
      </c>
      <c r="S8" t="s">
        <v>24</v>
      </c>
      <c r="T8" s="9" t="s">
        <v>81</v>
      </c>
      <c r="W8" s="4">
        <f>IF(VARIJANTA="A",Ustede!P9,"")</f>
        <v>7</v>
      </c>
      <c r="X8" s="35" t="s">
        <v>88</v>
      </c>
      <c r="Y8" s="4" t="str">
        <f>IF(VARIJANTA="B",Ustede!P9,"")</f>
        <v/>
      </c>
      <c r="Z8" s="35" t="s">
        <v>88</v>
      </c>
      <c r="AA8" s="4" t="str">
        <f>IF(VARIJANTA="C",Ustede!P9,"")</f>
        <v/>
      </c>
      <c r="AB8" s="35" t="s">
        <v>88</v>
      </c>
      <c r="AC8" s="33"/>
      <c r="AD8" t="s">
        <v>86</v>
      </c>
    </row>
    <row r="9" spans="1:36" ht="17.25" x14ac:dyDescent="0.25">
      <c r="B9" t="s">
        <v>40</v>
      </c>
      <c r="E9">
        <v>3</v>
      </c>
      <c r="H9" t="s">
        <v>57</v>
      </c>
      <c r="N9" t="s">
        <v>6</v>
      </c>
      <c r="S9" t="s">
        <v>25</v>
      </c>
      <c r="T9" s="9" t="s">
        <v>82</v>
      </c>
      <c r="W9" s="36">
        <f>IF(VARIJANTA="A",Ustede!P10,"")</f>
        <v>297</v>
      </c>
      <c r="X9" s="34" t="s">
        <v>89</v>
      </c>
      <c r="Y9" s="36" t="str">
        <f>IF(VARIJANTA="B",Ustede!P10,"")</f>
        <v/>
      </c>
      <c r="Z9" s="35" t="s">
        <v>90</v>
      </c>
      <c r="AA9" t="str">
        <f>IF(VARIJANTA="C","","")</f>
        <v/>
      </c>
      <c r="AB9" s="34" t="s">
        <v>91</v>
      </c>
      <c r="AC9" s="33"/>
      <c r="AD9" t="s">
        <v>85</v>
      </c>
    </row>
    <row r="10" spans="1:36" ht="17.25" x14ac:dyDescent="0.25">
      <c r="B10" t="s">
        <v>41</v>
      </c>
      <c r="E10">
        <v>4</v>
      </c>
      <c r="N10" t="s">
        <v>7</v>
      </c>
      <c r="S10" t="s">
        <v>26</v>
      </c>
      <c r="T10" s="9" t="s">
        <v>83</v>
      </c>
      <c r="W10" s="16">
        <f>IF(VARIJANTA="A",Ustede!P11,"")</f>
        <v>2387</v>
      </c>
      <c r="X10" s="34" t="s">
        <v>92</v>
      </c>
      <c r="Y10" t="str">
        <f>IF(VARIJANTA="B",Ustede!P11,"")</f>
        <v/>
      </c>
      <c r="Z10" s="34" t="s">
        <v>92</v>
      </c>
      <c r="AA10" t="str">
        <f>IF(VARIJANTA="C",Ustede!P11,"")</f>
        <v/>
      </c>
      <c r="AB10" s="34" t="s">
        <v>92</v>
      </c>
      <c r="AC10" s="33"/>
      <c r="AD10" t="s">
        <v>87</v>
      </c>
    </row>
    <row r="11" spans="1:36" ht="17.25" x14ac:dyDescent="0.25">
      <c r="B11" t="s">
        <v>42</v>
      </c>
      <c r="E11">
        <v>5</v>
      </c>
      <c r="N11" t="s">
        <v>8</v>
      </c>
      <c r="W11">
        <v>180</v>
      </c>
      <c r="X11" s="34" t="s">
        <v>29</v>
      </c>
      <c r="Y11" t="str">
        <f>IF(VARIJANTA="B",Ustede!P12,"")</f>
        <v/>
      </c>
      <c r="Z11" s="34" t="s">
        <v>29</v>
      </c>
      <c r="AA11" t="str">
        <f>IF(VARIJANTA="C",Ustede!P12,"")</f>
        <v/>
      </c>
      <c r="AB11" s="34" t="s">
        <v>29</v>
      </c>
      <c r="AC11" s="33"/>
      <c r="AD11" t="s">
        <v>94</v>
      </c>
      <c r="AH11" s="6" t="s">
        <v>99</v>
      </c>
      <c r="AI11" s="6"/>
      <c r="AJ11" s="6"/>
    </row>
    <row r="12" spans="1:36" ht="17.25" x14ac:dyDescent="0.25">
      <c r="B12" t="s">
        <v>43</v>
      </c>
      <c r="E12">
        <v>6</v>
      </c>
      <c r="N12" t="s">
        <v>9</v>
      </c>
      <c r="W12">
        <f>IF(VARIJANTA="A",Ustede!P13,"")</f>
        <v>64.760000000000005</v>
      </c>
      <c r="X12" s="34" t="s">
        <v>29</v>
      </c>
      <c r="Y12" t="str">
        <f>IF(VARIJANTA="B",Ustede!P13,"")</f>
        <v/>
      </c>
      <c r="Z12" s="34" t="s">
        <v>29</v>
      </c>
      <c r="AA12" t="str">
        <f>IF(VARIJANTA="C",Ustede!P13,"")</f>
        <v/>
      </c>
      <c r="AB12" s="34" t="s">
        <v>29</v>
      </c>
      <c r="AC12" s="33"/>
      <c r="AD12" t="s">
        <v>93</v>
      </c>
      <c r="AH12" s="6" t="s">
        <v>99</v>
      </c>
      <c r="AI12" s="6"/>
      <c r="AJ12" s="6"/>
    </row>
    <row r="13" spans="1:36" ht="17.25" x14ac:dyDescent="0.25">
      <c r="B13" t="s">
        <v>44</v>
      </c>
      <c r="E13">
        <v>7</v>
      </c>
      <c r="W13">
        <f>IF(VARIJANTA="A",Ustede!P14,"")</f>
        <v>20</v>
      </c>
      <c r="X13" s="34" t="s">
        <v>103</v>
      </c>
      <c r="Y13" t="str">
        <f>IF(VARIJANTA="B",Ustede!P14,"")</f>
        <v/>
      </c>
      <c r="Z13" s="34" t="s">
        <v>103</v>
      </c>
      <c r="AA13" t="str">
        <f>IF(VARIJANTA="C",Ustede!P14,"")</f>
        <v/>
      </c>
      <c r="AB13" s="34" t="s">
        <v>103</v>
      </c>
      <c r="AC13" s="33"/>
      <c r="AD13" t="s">
        <v>95</v>
      </c>
      <c r="AH13" s="6" t="s">
        <v>100</v>
      </c>
      <c r="AI13" s="6"/>
      <c r="AJ13" s="6"/>
    </row>
    <row r="14" spans="1:36" ht="17.25" x14ac:dyDescent="0.25">
      <c r="B14" t="s">
        <v>45</v>
      </c>
      <c r="E14">
        <v>8</v>
      </c>
      <c r="W14">
        <f>IF(VARIJANTA="A",Ustede!P15,"")</f>
        <v>20</v>
      </c>
      <c r="X14" s="34" t="s">
        <v>103</v>
      </c>
      <c r="Y14" t="str">
        <f>IF(VARIJANTA="B",Ustede!P15,"")</f>
        <v/>
      </c>
      <c r="Z14" s="34" t="s">
        <v>103</v>
      </c>
      <c r="AA14" t="str">
        <f>IF(VARIJANTA="C",Ustede!P15,"")</f>
        <v/>
      </c>
      <c r="AB14" s="34" t="s">
        <v>103</v>
      </c>
      <c r="AC14" s="33"/>
      <c r="AD14" t="s">
        <v>96</v>
      </c>
      <c r="AH14" s="6" t="s">
        <v>101</v>
      </c>
      <c r="AI14" s="6"/>
      <c r="AJ14" s="6"/>
    </row>
    <row r="15" spans="1:36" ht="17.25" x14ac:dyDescent="0.25">
      <c r="B15" t="s">
        <v>46</v>
      </c>
      <c r="E15">
        <v>9</v>
      </c>
      <c r="G15" s="15"/>
      <c r="M15" s="24" t="s">
        <v>10</v>
      </c>
      <c r="N15" t="s">
        <v>58</v>
      </c>
      <c r="W15">
        <f>IF(VARIJANTA="A",Ustede!P16,"")</f>
        <v>20</v>
      </c>
      <c r="X15" s="34" t="s">
        <v>103</v>
      </c>
      <c r="Y15" t="str">
        <f>IF(VARIJANTA="B",Ustede!P16,"")</f>
        <v/>
      </c>
      <c r="Z15" s="34" t="s">
        <v>103</v>
      </c>
      <c r="AA15" t="str">
        <f>IF(VARIJANTA="C",Ustede!P16,"")</f>
        <v/>
      </c>
      <c r="AB15" s="34" t="s">
        <v>103</v>
      </c>
      <c r="AC15" s="33"/>
      <c r="AD15" t="s">
        <v>97</v>
      </c>
      <c r="AH15" s="6" t="s">
        <v>102</v>
      </c>
      <c r="AI15" s="6"/>
      <c r="AJ15" s="6"/>
    </row>
    <row r="16" spans="1:36" ht="17.25" x14ac:dyDescent="0.25">
      <c r="B16" t="s">
        <v>47</v>
      </c>
      <c r="E16">
        <v>10</v>
      </c>
      <c r="G16" s="15"/>
      <c r="N16" t="s">
        <v>59</v>
      </c>
      <c r="W16">
        <f>IF(VARIJANTA="A",Ustede!P17,"")</f>
        <v>-12</v>
      </c>
      <c r="X16" s="34" t="s">
        <v>103</v>
      </c>
      <c r="Y16" t="str">
        <f>IF(VARIJANTA="B",Ustede!P17,"")</f>
        <v/>
      </c>
      <c r="Z16" s="34" t="s">
        <v>103</v>
      </c>
      <c r="AA16" t="str">
        <f>IF(VARIJANTA="C",Ustede!P17,"")</f>
        <v/>
      </c>
      <c r="AB16" s="34" t="s">
        <v>103</v>
      </c>
      <c r="AC16" s="33"/>
      <c r="AD16" t="s">
        <v>98</v>
      </c>
      <c r="AH16" s="6" t="s">
        <v>102</v>
      </c>
      <c r="AI16" s="6"/>
      <c r="AJ16" s="6"/>
    </row>
    <row r="17" spans="2:30" ht="17.25" x14ac:dyDescent="0.25">
      <c r="B17" t="s">
        <v>48</v>
      </c>
      <c r="E17">
        <v>11</v>
      </c>
      <c r="N17" t="s">
        <v>60</v>
      </c>
      <c r="W17" s="31">
        <f>W11-W12</f>
        <v>115.24</v>
      </c>
      <c r="X17" s="34" t="s">
        <v>29</v>
      </c>
      <c r="Y17" s="31" t="e">
        <f>Y11-Y12</f>
        <v>#VALUE!</v>
      </c>
      <c r="Z17" s="34" t="s">
        <v>29</v>
      </c>
      <c r="AA17" s="31" t="e">
        <f>AA11-AA12</f>
        <v>#VALUE!</v>
      </c>
      <c r="AB17" s="34" t="s">
        <v>29</v>
      </c>
      <c r="AC17" s="33"/>
      <c r="AD17" t="s">
        <v>104</v>
      </c>
    </row>
    <row r="18" spans="2:30" x14ac:dyDescent="0.25">
      <c r="B18" t="s">
        <v>49</v>
      </c>
      <c r="E18">
        <v>12</v>
      </c>
      <c r="N18" t="s">
        <v>61</v>
      </c>
      <c r="W18" s="37">
        <f>W10*W17/1000</f>
        <v>275.07787999999999</v>
      </c>
      <c r="X18" s="34" t="s">
        <v>30</v>
      </c>
      <c r="Y18" s="37" t="e">
        <f>Y10*Y17/1000</f>
        <v>#VALUE!</v>
      </c>
      <c r="Z18" s="34" t="s">
        <v>30</v>
      </c>
      <c r="AA18" s="37" t="e">
        <f>AA10*AA17/1000</f>
        <v>#VALUE!</v>
      </c>
      <c r="AB18" s="34" t="s">
        <v>30</v>
      </c>
      <c r="AC18" s="33"/>
      <c r="AD18" t="s">
        <v>104</v>
      </c>
    </row>
    <row r="19" spans="2:30" ht="18" x14ac:dyDescent="0.35">
      <c r="B19" t="s">
        <v>50</v>
      </c>
      <c r="E19">
        <v>13</v>
      </c>
      <c r="N19" t="s">
        <v>62</v>
      </c>
      <c r="W19" s="37">
        <f>W8*W18*1000/Kurs_EUR</f>
        <v>16417.239274265055</v>
      </c>
      <c r="X19" s="34" t="s">
        <v>31</v>
      </c>
      <c r="Y19" s="37" t="e">
        <f>(Y8*Y18*1000+Y9*12*Y18*1000/IF(Ustede!R18=TRUE,1100,1700))/Kurs_EUR</f>
        <v>#VALUE!</v>
      </c>
      <c r="Z19" s="34" t="s">
        <v>31</v>
      </c>
      <c r="AA19" s="37" t="e">
        <f>AA8*AA18*1000/Kurs_EUR</f>
        <v>#VALUE!</v>
      </c>
      <c r="AB19" s="34" t="s">
        <v>31</v>
      </c>
      <c r="AC19" s="33"/>
      <c r="AD19" t="s">
        <v>105</v>
      </c>
    </row>
    <row r="20" spans="2:30" x14ac:dyDescent="0.25">
      <c r="B20" t="s">
        <v>51</v>
      </c>
      <c r="E20">
        <v>14</v>
      </c>
    </row>
    <row r="21" spans="2:30" ht="18" x14ac:dyDescent="0.35">
      <c r="B21" t="s">
        <v>52</v>
      </c>
      <c r="E21">
        <v>15</v>
      </c>
      <c r="H21" s="72" t="s">
        <v>155</v>
      </c>
      <c r="I21" s="72"/>
      <c r="J21" s="72"/>
      <c r="M21" s="24" t="s">
        <v>12</v>
      </c>
      <c r="N21" t="s">
        <v>63</v>
      </c>
    </row>
    <row r="22" spans="2:30" x14ac:dyDescent="0.25">
      <c r="B22" t="s">
        <v>53</v>
      </c>
      <c r="E22">
        <v>16</v>
      </c>
      <c r="I22" t="s">
        <v>156</v>
      </c>
      <c r="K22" s="4">
        <f>+UnosPodataka!F18</f>
        <v>40000</v>
      </c>
      <c r="L22" s="23">
        <v>0</v>
      </c>
      <c r="N22" t="s">
        <v>64</v>
      </c>
    </row>
    <row r="23" spans="2:30" x14ac:dyDescent="0.25">
      <c r="B23" t="s">
        <v>54</v>
      </c>
      <c r="E23">
        <v>17</v>
      </c>
      <c r="I23" t="s">
        <v>157</v>
      </c>
      <c r="K23" s="4">
        <f>+LOAN</f>
        <v>79350</v>
      </c>
      <c r="L23" s="23">
        <f>+UnosPodataka!M16</f>
        <v>0.12</v>
      </c>
      <c r="N23" t="s">
        <v>65</v>
      </c>
    </row>
    <row r="24" spans="2:30" x14ac:dyDescent="0.25">
      <c r="B24" t="s">
        <v>12</v>
      </c>
      <c r="I24" t="s">
        <v>158</v>
      </c>
      <c r="K24" s="4">
        <f>+EQUITY</f>
        <v>3000</v>
      </c>
      <c r="L24" s="10">
        <f>+UnosPodataka!M17</f>
        <v>5.8299999999999998E-2</v>
      </c>
      <c r="N24" t="s">
        <v>66</v>
      </c>
    </row>
    <row r="25" spans="2:30" x14ac:dyDescent="0.25">
      <c r="B25" s="19">
        <f>VLOOKUP(Pocetna!M12,B7:E23,4,FALSE)</f>
        <v>1</v>
      </c>
      <c r="J25" t="s">
        <v>159</v>
      </c>
      <c r="K25" s="4">
        <f>SUM(K22:K24)</f>
        <v>122350</v>
      </c>
      <c r="L25" s="10">
        <f>+(K22*L22+K23*L23+K24*L24)/K25</f>
        <v>7.9255414793624843E-2</v>
      </c>
      <c r="N25" t="s">
        <v>67</v>
      </c>
    </row>
    <row r="26" spans="2:30" x14ac:dyDescent="0.25">
      <c r="B26" s="14"/>
      <c r="N26" t="s">
        <v>154</v>
      </c>
    </row>
    <row r="27" spans="2:30" x14ac:dyDescent="0.25">
      <c r="N27" t="s">
        <v>68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19</v>
      </c>
      <c r="P34" s="4">
        <v>0.49399999999999999</v>
      </c>
    </row>
    <row r="35" spans="14:16" x14ac:dyDescent="0.25">
      <c r="N35" t="s">
        <v>187</v>
      </c>
      <c r="P35" s="4">
        <v>0.22</v>
      </c>
    </row>
    <row r="36" spans="14:16" x14ac:dyDescent="0.25">
      <c r="N36" t="s">
        <v>20</v>
      </c>
      <c r="P36" s="4">
        <v>0.4</v>
      </c>
    </row>
    <row r="37" spans="14:16" x14ac:dyDescent="0.25">
      <c r="N37" t="s">
        <v>21</v>
      </c>
      <c r="P37" s="4">
        <v>0.33</v>
      </c>
    </row>
    <row r="38" spans="14:16" x14ac:dyDescent="0.25">
      <c r="N38" t="s">
        <v>22</v>
      </c>
      <c r="P38" s="4">
        <v>0</v>
      </c>
    </row>
    <row r="39" spans="14:16" x14ac:dyDescent="0.25">
      <c r="N39" t="s">
        <v>152</v>
      </c>
      <c r="P39" s="36">
        <f>SUM(KonvFaktor!E21)</f>
        <v>1.6475770925110132E-2</v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workbookViewId="0">
      <selection activeCell="N34" sqref="N34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63" t="s">
        <v>160</v>
      </c>
      <c r="G3" s="63"/>
      <c r="H3" s="63"/>
      <c r="I3" s="63"/>
    </row>
    <row r="7" spans="2:16" x14ac:dyDescent="0.25">
      <c r="B7" s="76" t="s">
        <v>69</v>
      </c>
      <c r="C7" s="76"/>
      <c r="D7" s="76"/>
      <c r="E7" s="76"/>
      <c r="F7" s="2" t="s">
        <v>1</v>
      </c>
      <c r="I7" s="75" t="s">
        <v>69</v>
      </c>
      <c r="J7" s="75"/>
      <c r="K7" s="75"/>
      <c r="L7" s="75"/>
      <c r="M7" s="3" t="s">
        <v>23</v>
      </c>
      <c r="O7" s="68" t="s">
        <v>141</v>
      </c>
      <c r="P7" s="68"/>
    </row>
    <row r="8" spans="2:16" x14ac:dyDescent="0.25">
      <c r="O8" s="68"/>
      <c r="P8" s="68"/>
    </row>
    <row r="9" spans="2:16" x14ac:dyDescent="0.25">
      <c r="B9" s="73" t="s">
        <v>55</v>
      </c>
      <c r="C9" s="73"/>
      <c r="D9" s="73"/>
      <c r="E9" s="73"/>
      <c r="F9" s="11">
        <v>2000</v>
      </c>
      <c r="I9" s="73" t="s">
        <v>58</v>
      </c>
      <c r="J9" s="73"/>
      <c r="K9" s="73"/>
      <c r="L9" s="73"/>
      <c r="M9" s="11">
        <v>100</v>
      </c>
    </row>
    <row r="10" spans="2:16" x14ac:dyDescent="0.25">
      <c r="B10" s="73" t="s">
        <v>56</v>
      </c>
      <c r="C10" s="73"/>
      <c r="D10" s="73"/>
      <c r="E10" s="73"/>
      <c r="F10" s="11">
        <v>1000</v>
      </c>
      <c r="I10" s="73" t="s">
        <v>59</v>
      </c>
      <c r="J10" s="73"/>
      <c r="K10" s="73"/>
      <c r="L10" s="73"/>
      <c r="M10" s="26">
        <v>0.9</v>
      </c>
      <c r="O10" s="67" t="s">
        <v>140</v>
      </c>
      <c r="P10" s="67"/>
    </row>
    <row r="11" spans="2:16" x14ac:dyDescent="0.25">
      <c r="B11" s="73" t="s">
        <v>57</v>
      </c>
      <c r="C11" s="73"/>
      <c r="D11" s="73"/>
      <c r="E11" s="73"/>
      <c r="F11" s="11">
        <v>119350</v>
      </c>
      <c r="I11" s="73" t="s">
        <v>60</v>
      </c>
      <c r="J11" s="73"/>
      <c r="K11" s="73"/>
      <c r="L11" s="73"/>
      <c r="M11" s="10">
        <v>0</v>
      </c>
      <c r="O11" s="67"/>
      <c r="P11" s="67"/>
    </row>
    <row r="12" spans="2:16" x14ac:dyDescent="0.25">
      <c r="B12" s="73"/>
      <c r="C12" s="73"/>
      <c r="D12" s="73"/>
      <c r="E12" s="73"/>
      <c r="F12" s="4"/>
      <c r="I12" s="73" t="s">
        <v>61</v>
      </c>
      <c r="J12" s="73"/>
      <c r="K12" s="73"/>
      <c r="L12" s="73"/>
      <c r="M12" s="26">
        <v>2.5000000000000001E-2</v>
      </c>
    </row>
    <row r="13" spans="2:16" x14ac:dyDescent="0.25">
      <c r="B13" s="73"/>
      <c r="C13" s="73"/>
      <c r="D13" s="73"/>
      <c r="E13" s="73"/>
      <c r="F13" s="4"/>
      <c r="I13" s="73" t="s">
        <v>73</v>
      </c>
      <c r="J13" s="73"/>
      <c r="K13" s="73"/>
      <c r="L13" s="73"/>
      <c r="M13" s="27">
        <v>97.44</v>
      </c>
    </row>
    <row r="14" spans="2:16" x14ac:dyDescent="0.25">
      <c r="B14" s="73"/>
      <c r="C14" s="73"/>
      <c r="D14" s="73"/>
      <c r="E14" s="73"/>
      <c r="F14" s="4"/>
      <c r="I14" s="74"/>
      <c r="J14" s="74"/>
      <c r="K14" s="74"/>
      <c r="L14" s="74"/>
      <c r="M14" s="10"/>
    </row>
    <row r="15" spans="2:16" x14ac:dyDescent="0.25">
      <c r="B15" s="73"/>
      <c r="C15" s="73"/>
      <c r="D15" s="73"/>
      <c r="E15" s="73"/>
      <c r="F15" s="4"/>
      <c r="I15" s="73" t="s">
        <v>66</v>
      </c>
      <c r="J15" s="73"/>
      <c r="K15" s="73"/>
      <c r="L15" s="73"/>
      <c r="M15" s="26">
        <v>0.06</v>
      </c>
    </row>
    <row r="16" spans="2:16" x14ac:dyDescent="0.25">
      <c r="B16" s="12"/>
      <c r="C16" s="12"/>
      <c r="D16" s="12"/>
      <c r="E16" s="25" t="s">
        <v>70</v>
      </c>
      <c r="F16" s="4">
        <f>SUM(F9:F15)</f>
        <v>122350</v>
      </c>
      <c r="I16" s="73" t="s">
        <v>67</v>
      </c>
      <c r="J16" s="73"/>
      <c r="K16" s="73"/>
      <c r="L16" s="73"/>
      <c r="M16" s="10">
        <v>0.12</v>
      </c>
    </row>
    <row r="17" spans="2:14" x14ac:dyDescent="0.25">
      <c r="I17" s="73" t="s">
        <v>154</v>
      </c>
      <c r="J17" s="73"/>
      <c r="K17" s="73"/>
      <c r="L17" s="73"/>
      <c r="M17" s="10">
        <v>5.8299999999999998E-2</v>
      </c>
    </row>
    <row r="18" spans="2:14" x14ac:dyDescent="0.25">
      <c r="B18" s="73" t="s">
        <v>6</v>
      </c>
      <c r="C18" s="73"/>
      <c r="D18" s="73"/>
      <c r="E18" s="73"/>
      <c r="F18" s="11">
        <v>40000</v>
      </c>
      <c r="I18" s="73" t="s">
        <v>64</v>
      </c>
      <c r="J18" s="73"/>
      <c r="K18" s="73"/>
      <c r="L18" s="73"/>
      <c r="M18" s="28">
        <v>12</v>
      </c>
    </row>
    <row r="19" spans="2:14" x14ac:dyDescent="0.25">
      <c r="B19" s="73"/>
      <c r="C19" s="73"/>
      <c r="D19" s="73"/>
      <c r="E19" s="73"/>
      <c r="F19" s="11"/>
      <c r="I19" s="73" t="s">
        <v>68</v>
      </c>
      <c r="J19" s="73"/>
      <c r="K19" s="73"/>
      <c r="L19" s="73"/>
      <c r="M19" s="11" t="s">
        <v>17</v>
      </c>
    </row>
    <row r="20" spans="2:14" x14ac:dyDescent="0.25">
      <c r="B20" s="73"/>
      <c r="C20" s="73"/>
      <c r="D20" s="73"/>
      <c r="E20" s="73"/>
      <c r="F20" s="11"/>
      <c r="I20" s="73" t="s">
        <v>74</v>
      </c>
      <c r="J20" s="73"/>
      <c r="K20" s="73"/>
      <c r="L20" s="73"/>
      <c r="M20" s="4">
        <f>VLOOKUP(M19,PomTab1!N29:P39,3,FALSE)</f>
        <v>0.28000000000000003</v>
      </c>
    </row>
    <row r="21" spans="2:14" x14ac:dyDescent="0.25">
      <c r="B21" s="73"/>
      <c r="C21" s="73"/>
      <c r="D21" s="73"/>
      <c r="E21" s="73"/>
      <c r="F21" s="11"/>
      <c r="I21" s="73" t="s">
        <v>65</v>
      </c>
      <c r="J21" s="73"/>
      <c r="K21" s="73"/>
      <c r="L21" s="73"/>
      <c r="M21" s="13">
        <v>20</v>
      </c>
    </row>
    <row r="22" spans="2:14" x14ac:dyDescent="0.25">
      <c r="B22" s="73"/>
      <c r="C22" s="73"/>
      <c r="D22" s="73"/>
      <c r="E22" s="73"/>
      <c r="F22" s="4"/>
      <c r="N22" s="35"/>
    </row>
    <row r="23" spans="2:14" x14ac:dyDescent="0.25">
      <c r="B23" s="73" t="s">
        <v>9</v>
      </c>
      <c r="C23" s="73"/>
      <c r="D23" s="73"/>
      <c r="E23" s="73"/>
      <c r="F23" s="11">
        <v>3000</v>
      </c>
      <c r="M23" s="16"/>
      <c r="N23" s="35"/>
    </row>
    <row r="24" spans="2:14" x14ac:dyDescent="0.25">
      <c r="E24" s="7" t="s">
        <v>71</v>
      </c>
      <c r="F24" s="4">
        <f>IF(SUM(F18:F23)&gt;F16,FALSE,SUM(F18:F23))</f>
        <v>43000</v>
      </c>
      <c r="M24" s="4"/>
      <c r="N24" s="34"/>
    </row>
    <row r="25" spans="2:14" x14ac:dyDescent="0.25">
      <c r="F25" s="4"/>
      <c r="M25" s="16"/>
      <c r="N25" s="34"/>
    </row>
    <row r="26" spans="2:14" x14ac:dyDescent="0.25">
      <c r="E26" s="6" t="s">
        <v>72</v>
      </c>
      <c r="F26" s="4">
        <f>F16-F24</f>
        <v>79350</v>
      </c>
      <c r="N26" s="34"/>
    </row>
    <row r="27" spans="2:14" x14ac:dyDescent="0.25">
      <c r="N27" s="34"/>
    </row>
    <row r="28" spans="2:14" x14ac:dyDescent="0.25">
      <c r="H28" s="53"/>
      <c r="N28" s="34"/>
    </row>
    <row r="29" spans="2:14" x14ac:dyDescent="0.25">
      <c r="N29" s="34"/>
    </row>
    <row r="30" spans="2:14" x14ac:dyDescent="0.25">
      <c r="N30" s="34"/>
    </row>
    <row r="31" spans="2:14" x14ac:dyDescent="0.25">
      <c r="N31" s="34"/>
    </row>
  </sheetData>
  <sheetProtection selectLockedCells="1"/>
  <mergeCells count="31">
    <mergeCell ref="O7:P8"/>
    <mergeCell ref="O10:P11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  <mergeCell ref="B11:E11"/>
    <mergeCell ref="I9:L9"/>
    <mergeCell ref="I10:L10"/>
    <mergeCell ref="I11:L11"/>
    <mergeCell ref="I12:L12"/>
    <mergeCell ref="F3:I3"/>
    <mergeCell ref="I19:L19"/>
    <mergeCell ref="I20:L20"/>
    <mergeCell ref="I21:L21"/>
    <mergeCell ref="I13:L13"/>
    <mergeCell ref="I15:L15"/>
    <mergeCell ref="I14:L14"/>
    <mergeCell ref="I16:L16"/>
    <mergeCell ref="I18:L18"/>
    <mergeCell ref="I17:L17"/>
  </mergeCells>
  <dataValidations count="17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300.000 EUR" promptTitle="BETI" prompt="Termoizolacija omotača zgrade" sqref="F11">
      <formula1>0</formula1>
      <formula2>300000</formula2>
    </dataValidation>
    <dataValidation type="whole" allowBlank="1" showInputMessage="1" showErrorMessage="1" errorTitle="Restriction" error="Ne može biti više od 100.000 EUR" sqref="F12 F14:F15">
      <formula1>0</formula1>
      <formula2>100000</formula2>
    </dataValidation>
    <dataValidation type="whole" allowBlank="1" showInputMessage="1" showErrorMessage="1" errorTitle="Restriction" error="Ne mođe biti više od 100.000 EUR" sqref="F13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>
      <formula1>0</formula1>
      <formula2>100000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>
      <formula1>0</formula1>
      <formula2>0.1</formula2>
    </dataValidation>
  </dataValidations>
  <hyperlinks>
    <hyperlink ref="O10:P11" location="Pocetna!M9" display="NAZAD"/>
    <hyperlink ref="O7:P8" location="Usted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I19:L20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3:T18"/>
  <sheetViews>
    <sheetView workbookViewId="0">
      <selection activeCell="J9" sqref="J9"/>
    </sheetView>
  </sheetViews>
  <sheetFormatPr defaultRowHeight="15" x14ac:dyDescent="0.25"/>
  <cols>
    <col min="10" max="10" width="14" customWidth="1"/>
  </cols>
  <sheetData>
    <row r="3" spans="2:20" ht="16.5" x14ac:dyDescent="0.35">
      <c r="F3" s="63" t="s">
        <v>160</v>
      </c>
      <c r="G3" s="63"/>
      <c r="H3" s="63"/>
      <c r="I3" s="63"/>
    </row>
    <row r="7" spans="2:20" ht="21" x14ac:dyDescent="0.35">
      <c r="B7" s="70" t="s">
        <v>75</v>
      </c>
      <c r="C7" s="70"/>
      <c r="D7" s="70"/>
      <c r="E7" s="70"/>
      <c r="F7" s="70"/>
      <c r="G7" s="70"/>
    </row>
    <row r="9" spans="2:20" ht="17.25" x14ac:dyDescent="0.25">
      <c r="B9" s="77" t="s">
        <v>76</v>
      </c>
      <c r="C9" s="77"/>
      <c r="D9" s="77"/>
      <c r="E9" s="77"/>
      <c r="G9" s="1" t="s">
        <v>27</v>
      </c>
      <c r="H9" s="1"/>
      <c r="I9" s="5" t="s">
        <v>29</v>
      </c>
      <c r="J9" s="17">
        <f>IF(VARIJANTA="A",PomTab1!W17,IF(VARIJANTA="B",PomTab1!Y17,PomTab1!AA17))</f>
        <v>115.24</v>
      </c>
      <c r="L9" t="s">
        <v>86</v>
      </c>
      <c r="P9" s="4">
        <v>7</v>
      </c>
      <c r="Q9" s="35" t="s">
        <v>88</v>
      </c>
      <c r="T9" s="53"/>
    </row>
    <row r="10" spans="2:20" x14ac:dyDescent="0.25">
      <c r="B10" s="74" t="s">
        <v>81</v>
      </c>
      <c r="C10" s="74"/>
      <c r="D10" s="74"/>
      <c r="E10" s="74"/>
      <c r="G10" s="1" t="s">
        <v>27</v>
      </c>
      <c r="H10" s="1"/>
      <c r="I10" s="5" t="s">
        <v>30</v>
      </c>
      <c r="J10" s="17">
        <f>IF(VARIJANTA="A",PomTab1!W18,IF(VARIJANTA="B",PomTab1!Y18,PomTab1!AA18))</f>
        <v>275.07787999999999</v>
      </c>
      <c r="L10" t="s">
        <v>85</v>
      </c>
      <c r="P10" s="4">
        <v>297</v>
      </c>
      <c r="Q10" s="34" t="str">
        <f>IF(VARIJANTA="C","-", IF(VARIJANTA="A","din/m2","din/kW"))</f>
        <v>din/m2</v>
      </c>
    </row>
    <row r="11" spans="2:20" ht="17.25" x14ac:dyDescent="0.25">
      <c r="B11" s="74"/>
      <c r="C11" s="74"/>
      <c r="D11" s="74"/>
      <c r="E11" s="74"/>
      <c r="G11" s="1" t="s">
        <v>28</v>
      </c>
      <c r="H11" s="1"/>
      <c r="I11" s="5" t="s">
        <v>31</v>
      </c>
      <c r="J11" s="17">
        <f>IF(VARIJANTA="A",PomTab1!W19,IF(VARIJANTA="B",PomTab1!Y19,PomTab1!AA19))</f>
        <v>16417.239274265055</v>
      </c>
      <c r="L11" t="s">
        <v>87</v>
      </c>
      <c r="P11" s="16">
        <v>2387</v>
      </c>
      <c r="Q11" s="34" t="s">
        <v>92</v>
      </c>
    </row>
    <row r="12" spans="2:20" ht="17.25" x14ac:dyDescent="0.25">
      <c r="B12" s="9"/>
      <c r="C12" s="9"/>
      <c r="D12" s="9"/>
      <c r="E12" s="9"/>
      <c r="I12" s="9"/>
      <c r="J12" s="30"/>
      <c r="L12" t="s">
        <v>94</v>
      </c>
      <c r="P12">
        <v>140.24</v>
      </c>
      <c r="Q12" s="34" t="s">
        <v>29</v>
      </c>
    </row>
    <row r="13" spans="2:20" ht="17.25" x14ac:dyDescent="0.25">
      <c r="B13" s="8" t="s">
        <v>78</v>
      </c>
      <c r="C13" s="8"/>
      <c r="D13" s="8"/>
      <c r="E13" s="8"/>
      <c r="F13" s="8"/>
      <c r="G13" s="8"/>
      <c r="H13" s="8"/>
      <c r="L13" t="s">
        <v>93</v>
      </c>
      <c r="P13">
        <v>64.760000000000005</v>
      </c>
      <c r="Q13" s="34" t="s">
        <v>29</v>
      </c>
    </row>
    <row r="14" spans="2:20" ht="17.25" x14ac:dyDescent="0.25">
      <c r="B14" s="8" t="s">
        <v>80</v>
      </c>
      <c r="C14" s="8"/>
      <c r="D14" s="8"/>
      <c r="E14" s="8"/>
      <c r="F14" s="8"/>
      <c r="G14" s="8"/>
      <c r="H14" s="8"/>
      <c r="L14" t="s">
        <v>95</v>
      </c>
      <c r="P14">
        <v>20</v>
      </c>
      <c r="Q14" s="34" t="s">
        <v>103</v>
      </c>
    </row>
    <row r="15" spans="2:20" ht="17.25" x14ac:dyDescent="0.25">
      <c r="B15" s="8" t="s">
        <v>79</v>
      </c>
      <c r="C15" s="8"/>
      <c r="D15" s="8"/>
      <c r="E15" s="8"/>
      <c r="F15" s="8"/>
      <c r="G15" s="8"/>
      <c r="H15" s="8"/>
      <c r="L15" t="s">
        <v>96</v>
      </c>
      <c r="P15">
        <v>20</v>
      </c>
      <c r="Q15" s="34" t="s">
        <v>103</v>
      </c>
    </row>
    <row r="16" spans="2:20" ht="17.25" x14ac:dyDescent="0.25">
      <c r="L16" t="s">
        <v>97</v>
      </c>
      <c r="P16">
        <v>20</v>
      </c>
      <c r="Q16" s="34" t="s">
        <v>103</v>
      </c>
    </row>
    <row r="17" spans="2:18" ht="17.25" x14ac:dyDescent="0.25">
      <c r="B17" s="67" t="s">
        <v>140</v>
      </c>
      <c r="C17" s="67"/>
      <c r="E17" s="68" t="s">
        <v>141</v>
      </c>
      <c r="F17" s="68"/>
      <c r="L17" t="s">
        <v>98</v>
      </c>
      <c r="P17">
        <v>-12</v>
      </c>
      <c r="Q17" s="34" t="s">
        <v>103</v>
      </c>
    </row>
    <row r="18" spans="2:18" x14ac:dyDescent="0.25">
      <c r="B18" s="67"/>
      <c r="C18" s="67"/>
      <c r="E18" s="68"/>
      <c r="F18" s="68"/>
      <c r="L18" t="s">
        <v>106</v>
      </c>
      <c r="P18" s="32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9">
    <dataValidation type="decimal" allowBlank="1" showInputMessage="1" showErrorMessage="1" errorTitle="Ograničenje" error="Varijabilni deo ne može biti veći od 20 din/kWh." promptTitle="VAR" prompt="Unesi varijabilni deo" sqref="P9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>
      <formula1>0</formula1>
      <formula2>300</formula2>
    </dataValidation>
    <dataValidation type="whole" allowBlank="1" showInputMessage="1" showErrorMessage="1" promptTitle="POVR" prompt="Unesi grejanu površinu" sqref="P11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>
      <formula1>0</formula1>
      <formula2>400</formula2>
    </dataValidation>
    <dataValidation type="decimal" allowBlank="1" showInputMessage="1" showErrorMessage="1" errorTitle="Ograničenje" error="Najveća dozvoljena potrošnja 120 kWh/m2a" promptTitle="PoPR" prompt="Unesi potrošnju enenergije prema elaboratu EE" sqref="P13">
      <formula1>0</formula1>
      <formula2>120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>
      <formula1>20</formula1>
      <formula2>21</formula2>
    </dataValidation>
    <dataValidation type="decimal" allowBlank="1" showInputMessage="1" showErrorMessage="1" promptTitle="PTSP" prompt="Spoljna projektna temperatura prema tehničkim propisima" sqref="P17">
      <formula1>-12</formula1>
      <formula2>0</formula2>
    </dataValidation>
  </dataValidations>
  <hyperlinks>
    <hyperlink ref="B17:C18" location="UnosPodataka!O5" display="NAZAD"/>
    <hyperlink ref="E17:F18" location="Annuity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>
          <x14:formula1>
            <xm:f>PomTab1!$T$8:$T$10</xm:f>
          </x14:formula1>
          <xm:sqref>B10:E10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M32"/>
  <sheetViews>
    <sheetView workbookViewId="0">
      <selection activeCell="E5" sqref="E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3" t="s">
        <v>160</v>
      </c>
      <c r="E3" s="63"/>
      <c r="F3" s="63"/>
      <c r="G3" s="63"/>
    </row>
    <row r="7" spans="2:13" ht="21" x14ac:dyDescent="0.35">
      <c r="B7" s="70" t="s">
        <v>107</v>
      </c>
      <c r="C7" s="70"/>
      <c r="D7" s="70"/>
      <c r="E7" s="70"/>
      <c r="F7" s="70"/>
      <c r="G7" s="70"/>
    </row>
    <row r="9" spans="2:13" x14ac:dyDescent="0.25">
      <c r="B9" t="s">
        <v>108</v>
      </c>
      <c r="D9" s="9" t="s">
        <v>1</v>
      </c>
      <c r="E9" s="18">
        <f>LOAN</f>
        <v>79350</v>
      </c>
      <c r="I9" s="67" t="s">
        <v>140</v>
      </c>
      <c r="J9" s="67"/>
      <c r="L9" s="68" t="s">
        <v>141</v>
      </c>
      <c r="M9" s="68"/>
    </row>
    <row r="10" spans="2:13" x14ac:dyDescent="0.25">
      <c r="I10" s="67"/>
      <c r="J10" s="67"/>
      <c r="L10" s="68"/>
      <c r="M10" s="68"/>
    </row>
    <row r="11" spans="2:13" x14ac:dyDescent="0.25">
      <c r="B11" s="19" t="s">
        <v>32</v>
      </c>
      <c r="C11" s="19" t="s">
        <v>109</v>
      </c>
      <c r="D11" s="19" t="s">
        <v>110</v>
      </c>
      <c r="E11" s="19" t="s">
        <v>111</v>
      </c>
    </row>
    <row r="13" spans="2:13" x14ac:dyDescent="0.25">
      <c r="B13">
        <v>1</v>
      </c>
      <c r="C13" s="4">
        <f>E9</f>
        <v>79350</v>
      </c>
      <c r="D13" s="4">
        <f>IF(UnosPodataka!M16=0,"",UnosPodataka!$M$16*Annuity!$E$9)</f>
        <v>9522</v>
      </c>
      <c r="E13" s="4">
        <f>PMT(UnosPodataka!$M$16,UnosPodataka!$M$18,Annuity!$E$9)</f>
        <v>-12810.010682583563</v>
      </c>
    </row>
    <row r="14" spans="2:13" x14ac:dyDescent="0.25">
      <c r="B14">
        <f>IF(B13&lt;UnosPodataka!$M$18,B13+1,"")</f>
        <v>2</v>
      </c>
      <c r="C14" s="4">
        <f>IF(B14&lt;&gt;"",SUM(C13:E13),"")</f>
        <v>76061.989317416432</v>
      </c>
      <c r="D14" s="4">
        <f>IF(B14&lt;&gt;"",C14*UnosPodataka!$M$16,"")</f>
        <v>9127.4387180899721</v>
      </c>
      <c r="E14" s="4">
        <f>IF(B14&lt;&gt;"",PMT(UnosPodataka!$M$16,UnosPodataka!$M$18,Annuity!$E$9),"")</f>
        <v>-12810.010682583563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72379.417352922828</v>
      </c>
      <c r="D15" s="4">
        <f>IF(B15&lt;&gt;"",C15*UnosPodataka!$M$16,"")</f>
        <v>8685.5300823507387</v>
      </c>
      <c r="E15" s="4">
        <f>IF(B15&lt;&gt;"",PMT(UnosPodataka!$M$16,UnosPodataka!$M$18,Annuity!$E$9),"")</f>
        <v>-12810.010682583563</v>
      </c>
    </row>
    <row r="16" spans="2:13" x14ac:dyDescent="0.25">
      <c r="B16">
        <f>IF(B15&lt;UnosPodataka!$M$18,B15+1,"")</f>
        <v>4</v>
      </c>
      <c r="C16" s="4">
        <f t="shared" si="0"/>
        <v>68254.936752690002</v>
      </c>
      <c r="D16" s="4">
        <f>IF(B16&lt;&gt;"",C16*UnosPodataka!$M$16,"")</f>
        <v>8190.5924103227999</v>
      </c>
      <c r="E16" s="4">
        <f>IF(B16&lt;&gt;"",PMT(UnosPodataka!$M$16,UnosPodataka!$M$18,Annuity!$E$9),"")</f>
        <v>-12810.010682583563</v>
      </c>
    </row>
    <row r="17" spans="2:5" x14ac:dyDescent="0.25">
      <c r="B17">
        <f>IF(B16&lt;UnosPodataka!$M$18,B16+1,"")</f>
        <v>5</v>
      </c>
      <c r="C17" s="4">
        <f t="shared" si="0"/>
        <v>63635.518480429244</v>
      </c>
      <c r="D17" s="4">
        <f>IF(B17&lt;&gt;"",C17*UnosPodataka!$M$16,"")</f>
        <v>7636.2622176515088</v>
      </c>
      <c r="E17" s="4">
        <f>IF(B17&lt;&gt;"",PMT(UnosPodataka!$M$16,UnosPodataka!$M$18,Annuity!$E$9),"")</f>
        <v>-12810.010682583563</v>
      </c>
    </row>
    <row r="18" spans="2:5" x14ac:dyDescent="0.25">
      <c r="B18">
        <f>IF(B17&lt;UnosPodataka!$M$18,B17+1,"")</f>
        <v>6</v>
      </c>
      <c r="C18" s="4">
        <f t="shared" si="0"/>
        <v>58461.77001549719</v>
      </c>
      <c r="D18" s="4">
        <f>IF(B18&lt;&gt;"",C18*UnosPodataka!$M$16,"")</f>
        <v>7015.4124018596622</v>
      </c>
      <c r="E18" s="4">
        <f>IF(B18&lt;&gt;"",PMT(UnosPodataka!$M$16,UnosPodataka!$M$18,Annuity!$E$9),"")</f>
        <v>-12810.010682583563</v>
      </c>
    </row>
    <row r="19" spans="2:5" x14ac:dyDescent="0.25">
      <c r="B19">
        <f>IF(B18&lt;UnosPodataka!$M$18,B18+1,"")</f>
        <v>7</v>
      </c>
      <c r="C19" s="4">
        <f t="shared" si="0"/>
        <v>52667.171734773292</v>
      </c>
      <c r="D19" s="4">
        <f>IF(B19&lt;&gt;"",C19*UnosPodataka!$M$16,"")</f>
        <v>6320.0606081727947</v>
      </c>
      <c r="E19" s="4">
        <f>IF(B19&lt;&gt;"",PMT(UnosPodataka!$M$16,UnosPodataka!$M$18,Annuity!$E$9),"")</f>
        <v>-12810.010682583563</v>
      </c>
    </row>
    <row r="20" spans="2:5" x14ac:dyDescent="0.25">
      <c r="B20">
        <f>IF(B19&lt;UnosPodataka!$M$18,B19+1,"")</f>
        <v>8</v>
      </c>
      <c r="C20" s="4">
        <f t="shared" si="0"/>
        <v>46177.221660362527</v>
      </c>
      <c r="D20" s="4">
        <f>IF(B20&lt;&gt;"",C20*UnosPodataka!$M$16,"")</f>
        <v>5541.2665992435032</v>
      </c>
      <c r="E20" s="4">
        <f>IF(B20&lt;&gt;"",PMT(UnosPodataka!$M$16,UnosPodataka!$M$18,Annuity!$E$9),"")</f>
        <v>-12810.010682583563</v>
      </c>
    </row>
    <row r="21" spans="2:5" x14ac:dyDescent="0.25">
      <c r="B21">
        <f>IF(B20&lt;UnosPodataka!$M$18,B20+1,"")</f>
        <v>9</v>
      </c>
      <c r="C21" s="4">
        <f t="shared" si="0"/>
        <v>38908.477577022473</v>
      </c>
      <c r="D21" s="4">
        <f>IF(B21&lt;&gt;"",C21*UnosPodataka!$M$16,"")</f>
        <v>4669.0173092426967</v>
      </c>
      <c r="E21" s="4">
        <f>IF(B21&lt;&gt;"",PMT(UnosPodataka!$M$16,UnosPodataka!$M$18,Annuity!$E$9),"")</f>
        <v>-12810.010682583563</v>
      </c>
    </row>
    <row r="22" spans="2:5" x14ac:dyDescent="0.25">
      <c r="B22">
        <f>IF(B21&lt;UnosPodataka!$M$18,B21+1,"")</f>
        <v>10</v>
      </c>
      <c r="C22" s="4">
        <f t="shared" si="0"/>
        <v>30767.484203681612</v>
      </c>
      <c r="D22" s="4">
        <f>IF(B22&lt;&gt;"",C22*UnosPodataka!$M$16,"")</f>
        <v>3692.0981044417931</v>
      </c>
      <c r="E22" s="4">
        <f>IF(B22&lt;&gt;"",PMT(UnosPodataka!$M$16,UnosPodataka!$M$18,Annuity!$E$9),"")</f>
        <v>-12810.010682583563</v>
      </c>
    </row>
    <row r="23" spans="2:5" x14ac:dyDescent="0.25">
      <c r="B23">
        <f>IF(B22&lt;UnosPodataka!$M$18,B22+1,"")</f>
        <v>11</v>
      </c>
      <c r="C23" s="4">
        <f t="shared" si="0"/>
        <v>21649.571625539844</v>
      </c>
      <c r="D23" s="4">
        <f>IF(B23&lt;&gt;"",C23*UnosPodataka!$M$16,"")</f>
        <v>2597.9485950647813</v>
      </c>
      <c r="E23" s="4">
        <f>IF(B23&lt;&gt;"",PMT(UnosPodataka!$M$16,UnosPodataka!$M$18,Annuity!$E$9),"")</f>
        <v>-12810.010682583563</v>
      </c>
    </row>
    <row r="24" spans="2:5" x14ac:dyDescent="0.25">
      <c r="B24">
        <f>IF(B23&lt;UnosPodataka!$M$18,B23+1,"")</f>
        <v>12</v>
      </c>
      <c r="C24" s="4">
        <f t="shared" si="0"/>
        <v>11437.509538021061</v>
      </c>
      <c r="D24" s="4">
        <f>IF(B24&lt;&gt;"",C24*UnosPodataka!$M$16,"")</f>
        <v>1372.5011445625273</v>
      </c>
      <c r="E24" s="4">
        <f>IF(B24&lt;&gt;"",PMT(UnosPodataka!$M$16,UnosPodataka!$M$18,Annuity!$E$9),"")</f>
        <v>-12810.010682583563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B12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63" t="s">
        <v>160</v>
      </c>
      <c r="F3" s="63"/>
      <c r="G3" s="63"/>
      <c r="H3" s="63"/>
    </row>
    <row r="7" spans="1:25" ht="21" x14ac:dyDescent="0.35">
      <c r="A7" s="70" t="s">
        <v>112</v>
      </c>
      <c r="B7" s="70"/>
      <c r="C7" s="70"/>
      <c r="D7" s="70"/>
      <c r="I7" s="79" t="s">
        <v>140</v>
      </c>
      <c r="J7" s="79"/>
      <c r="N7" s="80" t="s">
        <v>141</v>
      </c>
      <c r="O7" s="80"/>
    </row>
    <row r="9" spans="1:25" x14ac:dyDescent="0.25">
      <c r="A9" s="66" t="s">
        <v>65</v>
      </c>
      <c r="B9" s="66"/>
      <c r="C9" s="66"/>
      <c r="D9" s="66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>
        <f>IF(T9&lt;UnosPodataka!$M$21,FinaIndicators!T9+1,"")</f>
        <v>16</v>
      </c>
      <c r="V9" s="19">
        <f>IF(U9&lt;UnosPodataka!$M$21,FinaIndicators!U9+1,"")</f>
        <v>17</v>
      </c>
      <c r="W9" s="19">
        <f>IF(V9&lt;UnosPodataka!$M$21,FinaIndicators!V9+1,"")</f>
        <v>18</v>
      </c>
      <c r="X9" s="19">
        <f>IF(W9&lt;UnosPodataka!$M$21,FinaIndicators!W9+1,"")</f>
        <v>19</v>
      </c>
      <c r="Y9" s="19">
        <f>IF(X9&lt;UnosPodataka!$M$21,FinaIndicators!X9+1,"")</f>
        <v>20</v>
      </c>
    </row>
    <row r="11" spans="1:25" x14ac:dyDescent="0.25">
      <c r="A11" s="73" t="s">
        <v>113</v>
      </c>
      <c r="B11" s="73"/>
      <c r="C11" s="73"/>
      <c r="D11" s="73"/>
      <c r="E11" s="4">
        <f>LOAN</f>
        <v>79350</v>
      </c>
    </row>
    <row r="12" spans="1:25" x14ac:dyDescent="0.25">
      <c r="A12" s="73" t="s">
        <v>114</v>
      </c>
      <c r="B12" s="73"/>
      <c r="C12" s="73"/>
      <c r="D12" s="73"/>
      <c r="E12" s="4">
        <f>IF(EQUITY=0,LOAN,EQUITY)</f>
        <v>3000</v>
      </c>
    </row>
    <row r="13" spans="1:25" x14ac:dyDescent="0.25">
      <c r="A13" s="73" t="s">
        <v>162</v>
      </c>
      <c r="B13" s="73"/>
      <c r="C13" s="73"/>
      <c r="D13" s="73"/>
      <c r="E13" s="4">
        <f>+PomTab1!K22</f>
        <v>40000</v>
      </c>
    </row>
    <row r="14" spans="1:25" x14ac:dyDescent="0.25">
      <c r="A14" s="73" t="s">
        <v>115</v>
      </c>
      <c r="B14" s="73"/>
      <c r="C14" s="73"/>
      <c r="D14" s="73"/>
      <c r="F14" s="4">
        <f>IF(F9&lt;&gt;"",Ustede!$J$10,"")</f>
        <v>275.07787999999999</v>
      </c>
      <c r="G14" s="4">
        <f>IF(G9&lt;&gt;"",Ustede!$J$10,"")</f>
        <v>275.07787999999999</v>
      </c>
      <c r="H14" s="4">
        <f>IF(H9&lt;&gt;"",Ustede!$J$10,"")</f>
        <v>275.07787999999999</v>
      </c>
      <c r="I14" s="4">
        <f>IF(I9&lt;&gt;"",Ustede!$J$10,"")</f>
        <v>275.07787999999999</v>
      </c>
      <c r="J14" s="4">
        <f>IF(J9&lt;&gt;"",Ustede!$J$10,"")</f>
        <v>275.07787999999999</v>
      </c>
      <c r="K14" s="4">
        <f>IF(K9&lt;&gt;"",Ustede!$J$10,"")</f>
        <v>275.07787999999999</v>
      </c>
      <c r="L14" s="4">
        <f>IF(L9&lt;&gt;"",Ustede!$J$10,"")</f>
        <v>275.07787999999999</v>
      </c>
      <c r="M14" s="4">
        <f>IF(M9&lt;&gt;"",Ustede!$J$10,"")</f>
        <v>275.07787999999999</v>
      </c>
      <c r="N14" s="4">
        <f>IF(N9&lt;&gt;"",Ustede!$J$10,"")</f>
        <v>275.07787999999999</v>
      </c>
      <c r="O14" s="4">
        <f>IF(O9&lt;&gt;"",Ustede!$J$10,"")</f>
        <v>275.07787999999999</v>
      </c>
      <c r="P14" s="4">
        <f>IF(P9&lt;&gt;"",Ustede!$J$10,"")</f>
        <v>275.07787999999999</v>
      </c>
      <c r="Q14" s="4">
        <f>IF(Q9&lt;&gt;"",Ustede!$J$10,"")</f>
        <v>275.07787999999999</v>
      </c>
      <c r="R14" s="4">
        <f>IF(R9&lt;&gt;"",Ustede!$J$10,"")</f>
        <v>275.07787999999999</v>
      </c>
      <c r="S14" s="4">
        <f>IF(S9&lt;&gt;"",Ustede!$J$10,"")</f>
        <v>275.07787999999999</v>
      </c>
      <c r="T14" s="4">
        <f>IF(T9&lt;&gt;"",Ustede!$J$10,"")</f>
        <v>275.07787999999999</v>
      </c>
      <c r="U14" s="4">
        <f>IF(U9&lt;&gt;"",Ustede!$J$10,"")</f>
        <v>275.07787999999999</v>
      </c>
      <c r="V14" s="4">
        <f>IF(V9&lt;&gt;"",Ustede!$J$10,"")</f>
        <v>275.07787999999999</v>
      </c>
      <c r="W14" s="4">
        <f>IF(W9&lt;&gt;"",Ustede!$J$10,"")</f>
        <v>275.07787999999999</v>
      </c>
      <c r="X14" s="4">
        <f>IF(X9&lt;&gt;"",Ustede!$J$10,"")</f>
        <v>275.07787999999999</v>
      </c>
      <c r="Y14" s="4">
        <f>IF(Y9&lt;&gt;"",Ustede!$J$10,"")</f>
        <v>275.07787999999999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6" t="s">
        <v>163</v>
      </c>
      <c r="B16" s="66"/>
      <c r="C16" s="66"/>
      <c r="D16" s="66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3" t="s">
        <v>116</v>
      </c>
      <c r="B17" s="73"/>
      <c r="C17" s="73"/>
      <c r="D17" s="73"/>
      <c r="F17" s="4">
        <f>IF(F9&lt;&gt;"",Ustede!$J$11,"")</f>
        <v>16417.239274265055</v>
      </c>
      <c r="G17" s="4">
        <f>IF(G9&lt;&gt;"",Ustede!$J$11,"")</f>
        <v>16417.239274265055</v>
      </c>
      <c r="H17" s="4">
        <f>IF(H9&lt;&gt;"",Ustede!$J$11,"")</f>
        <v>16417.239274265055</v>
      </c>
      <c r="I17" s="4">
        <f>IF(I9&lt;&gt;"",Ustede!$J$11,"")</f>
        <v>16417.239274265055</v>
      </c>
      <c r="J17" s="4">
        <f>IF(J9&lt;&gt;"",Ustede!$J$11,"")</f>
        <v>16417.239274265055</v>
      </c>
      <c r="K17" s="4">
        <f>IF(K9&lt;&gt;"",Ustede!$J$11,"")</f>
        <v>16417.239274265055</v>
      </c>
      <c r="L17" s="4">
        <f>IF(L9&lt;&gt;"",Ustede!$J$11,"")</f>
        <v>16417.239274265055</v>
      </c>
      <c r="M17" s="4">
        <f>IF(M9&lt;&gt;"",Ustede!$J$11,"")</f>
        <v>16417.239274265055</v>
      </c>
      <c r="N17" s="4">
        <f>IF(N9&lt;&gt;"",Ustede!$J$11,"")</f>
        <v>16417.239274265055</v>
      </c>
      <c r="O17" s="4">
        <f>IF(O9&lt;&gt;"",Ustede!$J$11,"")</f>
        <v>16417.239274265055</v>
      </c>
      <c r="P17" s="4">
        <f>IF(P9&lt;&gt;"",Ustede!$J$11,"")</f>
        <v>16417.239274265055</v>
      </c>
      <c r="Q17" s="4">
        <f>IF(Q9&lt;&gt;"",Ustede!$J$11,"")</f>
        <v>16417.239274265055</v>
      </c>
      <c r="R17" s="4">
        <f>IF(R9&lt;&gt;"",Ustede!$J$11,"")</f>
        <v>16417.239274265055</v>
      </c>
      <c r="S17" s="4">
        <f>IF(S9&lt;&gt;"",Ustede!$J$11,"")</f>
        <v>16417.239274265055</v>
      </c>
      <c r="T17" s="4">
        <f>IF(T9&lt;&gt;"",Ustede!$J$11,"")</f>
        <v>16417.239274265055</v>
      </c>
      <c r="U17" s="4">
        <f>IF(U9&lt;&gt;"",Ustede!$J$11,"")</f>
        <v>16417.239274265055</v>
      </c>
      <c r="V17" s="4">
        <f>IF(V9&lt;&gt;"",Ustede!$J$11,"")</f>
        <v>16417.239274265055</v>
      </c>
      <c r="W17" s="4">
        <f>IF(W9&lt;&gt;"",Ustede!$J$11,"")</f>
        <v>16417.239274265055</v>
      </c>
      <c r="X17" s="4">
        <f>IF(X9&lt;&gt;"",Ustede!$J$11,"")</f>
        <v>16417.239274265055</v>
      </c>
      <c r="Y17" s="4">
        <f>IF(Y9&lt;&gt;"",Ustede!$J$11,"")</f>
        <v>16417.239274265055</v>
      </c>
    </row>
    <row r="18" spans="1:25" x14ac:dyDescent="0.25">
      <c r="A18" s="81" t="s">
        <v>117</v>
      </c>
      <c r="B18" s="81"/>
      <c r="C18" s="81"/>
      <c r="D18" s="81"/>
      <c r="E18" s="39"/>
      <c r="F18" s="40">
        <f>IF(F9&lt;&gt;"",F17,"")</f>
        <v>16417.239274265055</v>
      </c>
      <c r="G18" s="40">
        <f t="shared" ref="G18:Y18" si="0">IF(G9&lt;&gt;"",G17,"")</f>
        <v>16417.239274265055</v>
      </c>
      <c r="H18" s="40">
        <f t="shared" si="0"/>
        <v>16417.239274265055</v>
      </c>
      <c r="I18" s="40">
        <f t="shared" si="0"/>
        <v>16417.239274265055</v>
      </c>
      <c r="J18" s="40">
        <f t="shared" si="0"/>
        <v>16417.239274265055</v>
      </c>
      <c r="K18" s="40">
        <f t="shared" si="0"/>
        <v>16417.239274265055</v>
      </c>
      <c r="L18" s="40">
        <f t="shared" si="0"/>
        <v>16417.239274265055</v>
      </c>
      <c r="M18" s="40">
        <f t="shared" si="0"/>
        <v>16417.239274265055</v>
      </c>
      <c r="N18" s="40">
        <f t="shared" si="0"/>
        <v>16417.239274265055</v>
      </c>
      <c r="O18" s="40">
        <f t="shared" si="0"/>
        <v>16417.239274265055</v>
      </c>
      <c r="P18" s="40">
        <f t="shared" si="0"/>
        <v>16417.239274265055</v>
      </c>
      <c r="Q18" s="40">
        <f t="shared" si="0"/>
        <v>16417.239274265055</v>
      </c>
      <c r="R18" s="40">
        <f t="shared" si="0"/>
        <v>16417.239274265055</v>
      </c>
      <c r="S18" s="40">
        <f t="shared" si="0"/>
        <v>16417.239274265055</v>
      </c>
      <c r="T18" s="40">
        <f t="shared" si="0"/>
        <v>16417.239274265055</v>
      </c>
      <c r="U18" s="40">
        <f t="shared" si="0"/>
        <v>16417.239274265055</v>
      </c>
      <c r="V18" s="40">
        <f t="shared" si="0"/>
        <v>16417.239274265055</v>
      </c>
      <c r="W18" s="40">
        <f t="shared" si="0"/>
        <v>16417.239274265055</v>
      </c>
      <c r="X18" s="40">
        <f t="shared" si="0"/>
        <v>16417.239274265055</v>
      </c>
      <c r="Y18" s="40">
        <f t="shared" si="0"/>
        <v>16417.239274265055</v>
      </c>
    </row>
    <row r="19" spans="1:25" x14ac:dyDescent="0.25">
      <c r="A19" s="74"/>
      <c r="B19" s="74"/>
      <c r="C19" s="74"/>
      <c r="D19" s="74"/>
    </row>
    <row r="20" spans="1:25" x14ac:dyDescent="0.25">
      <c r="A20" s="66" t="s">
        <v>164</v>
      </c>
      <c r="B20" s="66"/>
      <c r="C20" s="66"/>
      <c r="D20" s="66"/>
    </row>
    <row r="21" spans="1:25" x14ac:dyDescent="0.25">
      <c r="A21" s="73" t="s">
        <v>118</v>
      </c>
      <c r="B21" s="73"/>
      <c r="C21" s="73"/>
      <c r="D21" s="73"/>
      <c r="F21" s="4">
        <f>IF(F9&gt;UnosPodataka!$M$18,"",-VLOOKUP(F9,Annuity!$B$13:$E$32,3,FALSE))</f>
        <v>-9522</v>
      </c>
      <c r="G21" s="4">
        <f>IF(G9&gt;UnosPodataka!$M$18,"",-VLOOKUP(G9,Annuity!$B$13:$E$32,3,FALSE))</f>
        <v>-9127.4387180899721</v>
      </c>
      <c r="H21" s="4">
        <f>IF(H9&gt;UnosPodataka!$M$18,"",-VLOOKUP(H9,Annuity!$B$13:$E$32,3,FALSE))</f>
        <v>-8685.5300823507387</v>
      </c>
      <c r="I21" s="4">
        <f>IF(I9&gt;UnosPodataka!$M$18,"",-VLOOKUP(I9,Annuity!$B$13:$E$32,3,FALSE))</f>
        <v>-8190.5924103227999</v>
      </c>
      <c r="J21" s="4">
        <f>IF(J9&gt;UnosPodataka!$M$18,"",-VLOOKUP(J9,Annuity!$B$13:$E$32,3,FALSE))</f>
        <v>-7636.2622176515088</v>
      </c>
      <c r="K21" s="4">
        <f>IF(K9&gt;UnosPodataka!$M$18,"",-VLOOKUP(K9,Annuity!$B$13:$E$32,3,FALSE))</f>
        <v>-7015.4124018596622</v>
      </c>
      <c r="L21" s="4">
        <f>IF(L9&gt;UnosPodataka!$M$18,"",-VLOOKUP(L9,Annuity!$B$13:$E$32,3,FALSE))</f>
        <v>-6320.0606081727947</v>
      </c>
      <c r="M21" s="4">
        <f>IF(M9&gt;UnosPodataka!$M$18,"",-VLOOKUP(M9,Annuity!$B$13:$E$32,3,FALSE))</f>
        <v>-5541.2665992435032</v>
      </c>
      <c r="N21" s="4">
        <f>IF(N9&gt;UnosPodataka!$M$18,"",-VLOOKUP(N9,Annuity!$B$13:$E$32,3,FALSE))</f>
        <v>-4669.0173092426967</v>
      </c>
      <c r="O21" s="4">
        <f>IF(O9&gt;UnosPodataka!$M$18,"",-VLOOKUP(O9,Annuity!$B$13:$E$32,3,FALSE))</f>
        <v>-3692.0981044417931</v>
      </c>
      <c r="P21" s="4">
        <f>IF(P9&gt;UnosPodataka!$M$18,"",-VLOOKUP(P9,Annuity!$B$13:$E$32,3,FALSE))</f>
        <v>-2597.9485950647813</v>
      </c>
      <c r="Q21" s="4">
        <f>IF(Q9&gt;UnosPodataka!$M$18,"",-VLOOKUP(Q9,Annuity!$B$13:$E$32,3,FALSE))</f>
        <v>-1372.5011445625273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8" t="s">
        <v>165</v>
      </c>
      <c r="B22" s="38"/>
      <c r="C22" s="38"/>
      <c r="D22" s="38"/>
      <c r="F22" s="4">
        <f>IF(F21="",0,IF(F9&gt;UnosPodataka!$M$18,"",VLOOKUP(F9,Annuity!$B$13:$E$32,4,FALSE)+VLOOKUP(F9,Annuity!$B$13:$E$32,3,FALSE)))</f>
        <v>-3288.0106825835628</v>
      </c>
      <c r="G22" s="4">
        <f>IF(G21="",0,IF(G9&gt;UnosPodataka!$M$18,"",VLOOKUP(G9,Annuity!$B$13:$E$32,4,FALSE)+VLOOKUP(G9,Annuity!$B$13:$E$32,3,FALSE)))</f>
        <v>-3682.5719644935907</v>
      </c>
      <c r="H22" s="4">
        <f>IF(H21="",0,IF(H9&gt;UnosPodataka!$M$18,"",VLOOKUP(H9,Annuity!$B$13:$E$32,4,FALSE)+VLOOKUP(H9,Annuity!$B$13:$E$32,3,FALSE)))</f>
        <v>-4124.4806002328241</v>
      </c>
      <c r="I22" s="4">
        <f>IF(I21="",0,IF(I9&gt;UnosPodataka!$M$18,"",VLOOKUP(I9,Annuity!$B$13:$E$32,4,FALSE)+VLOOKUP(I9,Annuity!$B$13:$E$32,3,FALSE)))</f>
        <v>-4619.4182722607629</v>
      </c>
      <c r="J22" s="4">
        <f>IF(J21="",0,IF(J9&gt;UnosPodataka!$M$18,"",VLOOKUP(J9,Annuity!$B$13:$E$32,4,FALSE)+VLOOKUP(J9,Annuity!$B$13:$E$32,3,FALSE)))</f>
        <v>-5173.748464932054</v>
      </c>
      <c r="K22" s="4">
        <f>IF(K21="",0,IF(K9&gt;UnosPodataka!$M$18,"",VLOOKUP(K9,Annuity!$B$13:$E$32,4,FALSE)+VLOOKUP(K9,Annuity!$B$13:$E$32,3,FALSE)))</f>
        <v>-5794.5982807239006</v>
      </c>
      <c r="L22" s="4">
        <f>IF(L21="",0,IF(L9&gt;UnosPodataka!$M$18,"",VLOOKUP(L9,Annuity!$B$13:$E$32,4,FALSE)+VLOOKUP(L9,Annuity!$B$13:$E$32,3,FALSE)))</f>
        <v>-6489.9500744107681</v>
      </c>
      <c r="M22" s="4">
        <f>IF(M21="",0,IF(M9&gt;UnosPodataka!$M$18,"",VLOOKUP(M9,Annuity!$B$13:$E$32,4,FALSE)+VLOOKUP(M9,Annuity!$B$13:$E$32,3,FALSE)))</f>
        <v>-7268.7440833400597</v>
      </c>
      <c r="N22" s="4">
        <f>IF(N21="",0,IF(N9&gt;UnosPodataka!$M$18,"",VLOOKUP(N9,Annuity!$B$13:$E$32,4,FALSE)+VLOOKUP(N9,Annuity!$B$13:$E$32,3,FALSE)))</f>
        <v>-8140.9933733408661</v>
      </c>
      <c r="O22" s="4">
        <f>IF(O21="",0,IF(O9&gt;UnosPodataka!$M$18,"",VLOOKUP(O9,Annuity!$B$13:$E$32,4,FALSE)+VLOOKUP(O9,Annuity!$B$13:$E$32,3,FALSE)))</f>
        <v>-9117.9125781417697</v>
      </c>
      <c r="P22" s="4">
        <f>IF(P21="",0,IF(P9&gt;UnosPodataka!$M$18,"",VLOOKUP(P9,Annuity!$B$13:$E$32,4,FALSE)+VLOOKUP(P9,Annuity!$B$13:$E$32,3,FALSE)))</f>
        <v>-10212.062087518781</v>
      </c>
      <c r="Q22" s="4">
        <f>IF(Q21="",0,IF(Q9&gt;UnosPodataka!$M$18,"",VLOOKUP(Q9,Annuity!$B$13:$E$32,4,FALSE)+VLOOKUP(Q9,Annuity!$B$13:$E$32,3,FALSE)))</f>
        <v>-11437.509538021035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>
        <f>IF(U21="",0,IF(U9&gt;UnosPodataka!$M$18,"",VLOOKUP(U9,Annuity!$B$13:$E$32,4,FALSE)+VLOOKUP(U9,Annuity!$B$13:$E$32,3,FALSE)))</f>
        <v>0</v>
      </c>
      <c r="V22" s="4">
        <f>IF(V21="",0,IF(V9&gt;UnosPodataka!$M$18,"",VLOOKUP(V9,Annuity!$B$13:$E$32,4,FALSE)+VLOOKUP(V9,Annuity!$B$13:$E$32,3,FALSE)))</f>
        <v>0</v>
      </c>
      <c r="W22" s="4">
        <f>IF(W21="",0,IF(W9&gt;UnosPodataka!$M$18,"",VLOOKUP(W9,Annuity!$B$13:$E$32,4,FALSE)+VLOOKUP(W9,Annuity!$B$13:$E$32,3,FALSE)))</f>
        <v>0</v>
      </c>
      <c r="X22" s="4">
        <f>IF(X21="",0,IF(X9&gt;UnosPodataka!$M$18,"",VLOOKUP(X9,Annuity!$B$13:$E$32,4,FALSE)+VLOOKUP(X9,Annuity!$B$13:$E$32,3,FALSE)))</f>
        <v>0</v>
      </c>
      <c r="Y22" s="4">
        <f>IF(Y21="",0,IF(Y9&gt;UnosPodataka!$M$18,"",VLOOKUP(Y9,Annuity!$B$13:$E$32,4,FALSE)+VLOOKUP(Y9,Annuity!$B$13:$E$32,3,FALSE)))</f>
        <v>0</v>
      </c>
    </row>
    <row r="23" spans="1:25" x14ac:dyDescent="0.25">
      <c r="A23" s="73" t="s">
        <v>119</v>
      </c>
      <c r="B23" s="73"/>
      <c r="C23" s="73"/>
      <c r="D23" s="73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>
        <f>IF(U9&lt;&gt;"",-UnosPodataka!$M$9,"")</f>
        <v>-100</v>
      </c>
      <c r="V23" s="4">
        <f>IF(V9&lt;&gt;"",-UnosPodataka!$M$9,"")</f>
        <v>-100</v>
      </c>
      <c r="W23" s="4">
        <f>IF(W9&lt;&gt;"",-UnosPodataka!$M$9,"")</f>
        <v>-100</v>
      </c>
      <c r="X23" s="4">
        <f>IF(X9&lt;&gt;"",-UnosPodataka!$M$9,"")</f>
        <v>-100</v>
      </c>
      <c r="Y23" s="4">
        <f>IF(Y9&lt;&gt;"",-UnosPodataka!$M$9,"")</f>
        <v>-100</v>
      </c>
    </row>
    <row r="24" spans="1:25" x14ac:dyDescent="0.25">
      <c r="A24" s="73" t="s">
        <v>120</v>
      </c>
      <c r="B24" s="73"/>
      <c r="C24" s="73"/>
      <c r="D24" s="73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>
        <f>IF(U9&lt;&gt;"",-Investment*UnosPodataka!$M$11,"")</f>
        <v>0</v>
      </c>
      <c r="V24" s="4">
        <f>IF(V9&lt;&gt;"",-Investment*UnosPodataka!$M$11,"")</f>
        <v>0</v>
      </c>
      <c r="W24" s="4">
        <f>IF(W9&lt;&gt;"",-Investment*UnosPodataka!$M$11,"")</f>
        <v>0</v>
      </c>
      <c r="X24" s="4">
        <f>IF(X9&lt;&gt;"",-Investment*UnosPodataka!$M$11,"")</f>
        <v>0</v>
      </c>
      <c r="Y24" s="4">
        <f>IF(Y9&lt;&gt;"",-Investment*UnosPodataka!$M$11,"")</f>
        <v>0</v>
      </c>
    </row>
    <row r="25" spans="1:25" x14ac:dyDescent="0.25">
      <c r="A25" s="73" t="s">
        <v>12</v>
      </c>
      <c r="B25" s="73"/>
      <c r="C25" s="73"/>
      <c r="D25" s="73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73" t="s">
        <v>166</v>
      </c>
      <c r="B26" s="73"/>
      <c r="C26" s="73"/>
      <c r="D26" s="73"/>
      <c r="F26" s="4">
        <f>IF(F9&lt;&gt;"",-Investment*UnosPodataka!$M$12,"")</f>
        <v>-3058.75</v>
      </c>
      <c r="G26" s="4">
        <f>IF(G9&lt;&gt;"",-Investment*UnosPodataka!$M$12,"")</f>
        <v>-3058.75</v>
      </c>
      <c r="H26" s="4">
        <f>IF(H9&lt;&gt;"",-Investment*UnosPodataka!$M$12,"")</f>
        <v>-3058.75</v>
      </c>
      <c r="I26" s="4">
        <f>IF(I9&lt;&gt;"",-Investment*UnosPodataka!$M$12,"")</f>
        <v>-3058.75</v>
      </c>
      <c r="J26" s="4">
        <f>IF(J9&lt;&gt;"",-Investment*UnosPodataka!$M$12,"")</f>
        <v>-3058.75</v>
      </c>
      <c r="K26" s="4">
        <f>IF(K9&lt;&gt;"",-Investment*UnosPodataka!$M$12,"")</f>
        <v>-3058.75</v>
      </c>
      <c r="L26" s="4">
        <f>IF(L9&lt;&gt;"",-Investment*UnosPodataka!$M$12,"")</f>
        <v>-3058.75</v>
      </c>
      <c r="M26" s="4">
        <f>IF(M9&lt;&gt;"",-Investment*UnosPodataka!$M$12,"")</f>
        <v>-3058.75</v>
      </c>
      <c r="N26" s="4">
        <f>IF(N9&lt;&gt;"",-Investment*UnosPodataka!$M$12,"")</f>
        <v>-3058.75</v>
      </c>
      <c r="O26" s="4">
        <f>IF(O9&lt;&gt;"",-Investment*UnosPodataka!$M$12,"")</f>
        <v>-3058.75</v>
      </c>
      <c r="P26" s="4">
        <f>IF(P9&lt;&gt;"",-Investment*UnosPodataka!$M$12,"")</f>
        <v>-3058.75</v>
      </c>
      <c r="Q26" s="4">
        <f>IF(Q9&lt;&gt;"",-Investment*UnosPodataka!$M$12,"")</f>
        <v>-3058.75</v>
      </c>
      <c r="R26" s="4">
        <f>IF(R9&lt;&gt;"",-Investment*UnosPodataka!$M$12,"")</f>
        <v>-3058.75</v>
      </c>
      <c r="S26" s="4">
        <f>IF(S9&lt;&gt;"",-Investment*UnosPodataka!$M$12,"")</f>
        <v>-3058.75</v>
      </c>
      <c r="T26" s="4">
        <f>IF(T9&lt;&gt;"",-Investment*UnosPodataka!$M$12,"")</f>
        <v>-3058.75</v>
      </c>
      <c r="U26" s="4">
        <f>IF(U9&lt;&gt;"",-Investment*UnosPodataka!$M$12,"")</f>
        <v>-3058.75</v>
      </c>
      <c r="V26" s="4">
        <f>IF(V9&lt;&gt;"",-Investment*UnosPodataka!$M$12,"")</f>
        <v>-3058.75</v>
      </c>
      <c r="W26" s="4">
        <f>IF(W9&lt;&gt;"",-Investment*UnosPodataka!$M$12,"")</f>
        <v>-3058.75</v>
      </c>
      <c r="X26" s="4">
        <f>IF(X9&lt;&gt;"",-Investment*UnosPodataka!$M$12,"")</f>
        <v>-3058.75</v>
      </c>
      <c r="Y26" s="4">
        <f>IF(Y9&lt;&gt;"",-Investment*UnosPodataka!$M$12,"")</f>
        <v>-3058.75</v>
      </c>
    </row>
    <row r="27" spans="1:25" x14ac:dyDescent="0.25">
      <c r="A27" s="73" t="s">
        <v>128</v>
      </c>
      <c r="B27" s="73"/>
      <c r="C27" s="73"/>
      <c r="D27" s="73"/>
      <c r="F27" s="4">
        <f>IF(F9&lt;&gt;"",-(1-UnosPodataka!$M$10)*FinaIndicators!F17,"")</f>
        <v>-1641.7239274265053</v>
      </c>
      <c r="G27" s="4">
        <f>IF(G9&lt;&gt;"",-(1-UnosPodataka!$M$10)*FinaIndicators!G17,"")</f>
        <v>-1641.7239274265053</v>
      </c>
      <c r="H27" s="4">
        <f>IF(H9&lt;&gt;"",-(1-UnosPodataka!$M$10)*FinaIndicators!H17,"")</f>
        <v>-1641.7239274265053</v>
      </c>
      <c r="I27" s="4">
        <f>IF(I9&lt;&gt;"",-(1-UnosPodataka!$M$10)*FinaIndicators!I17,"")</f>
        <v>-1641.7239274265053</v>
      </c>
      <c r="J27" s="4">
        <f>IF(J9&lt;&gt;"",-(1-UnosPodataka!$M$10)*FinaIndicators!J17,"")</f>
        <v>-1641.7239274265053</v>
      </c>
      <c r="K27" s="4">
        <f>IF(K9&lt;&gt;"",-(1-UnosPodataka!$M$10)*FinaIndicators!K17,"")</f>
        <v>-1641.7239274265053</v>
      </c>
      <c r="L27" s="4">
        <f>IF(L9&lt;&gt;"",-(1-UnosPodataka!$M$10)*FinaIndicators!L17,"")</f>
        <v>-1641.7239274265053</v>
      </c>
      <c r="M27" s="4">
        <f>IF(M9&lt;&gt;"",-(1-UnosPodataka!$M$10)*FinaIndicators!M17,"")</f>
        <v>-1641.7239274265053</v>
      </c>
      <c r="N27" s="4">
        <f>IF(N9&lt;&gt;"",-(1-UnosPodataka!$M$10)*FinaIndicators!N17,"")</f>
        <v>-1641.7239274265053</v>
      </c>
      <c r="O27" s="4">
        <f>IF(O9&lt;&gt;"",-(1-UnosPodataka!$M$10)*FinaIndicators!O17,"")</f>
        <v>-1641.7239274265053</v>
      </c>
      <c r="P27" s="4">
        <f>IF(P9&lt;&gt;"",-(1-UnosPodataka!$M$10)*FinaIndicators!P17,"")</f>
        <v>-1641.7239274265053</v>
      </c>
      <c r="Q27" s="4">
        <f>IF(Q9&lt;&gt;"",-(1-UnosPodataka!$M$10)*FinaIndicators!Q17,"")</f>
        <v>-1641.7239274265053</v>
      </c>
      <c r="R27" s="4">
        <f>IF(R9&lt;&gt;"",-(1-UnosPodataka!$M$10)*FinaIndicators!R17,"")</f>
        <v>-1641.7239274265053</v>
      </c>
      <c r="S27" s="4">
        <f>IF(S9&lt;&gt;"",-(1-UnosPodataka!$M$10)*FinaIndicators!S17,"")</f>
        <v>-1641.7239274265053</v>
      </c>
      <c r="T27" s="4">
        <f>IF(T9&lt;&gt;"",-(1-UnosPodataka!$M$10)*FinaIndicators!T17,"")</f>
        <v>-1641.7239274265053</v>
      </c>
      <c r="U27" s="4">
        <f>IF(U9&lt;&gt;"",-(1-UnosPodataka!$M$10)*FinaIndicators!U17,"")</f>
        <v>-1641.7239274265053</v>
      </c>
      <c r="V27" s="4">
        <f>IF(V9&lt;&gt;"",-(1-UnosPodataka!$M$10)*FinaIndicators!V17,"")</f>
        <v>-1641.7239274265053</v>
      </c>
      <c r="W27" s="4">
        <f>IF(W9&lt;&gt;"",-(1-UnosPodataka!$M$10)*FinaIndicators!W17,"")</f>
        <v>-1641.7239274265053</v>
      </c>
      <c r="X27" s="4">
        <f>IF(X9&lt;&gt;"",-(1-UnosPodataka!$M$10)*FinaIndicators!X17,"")</f>
        <v>-1641.7239274265053</v>
      </c>
      <c r="Y27" s="4">
        <f>IF(Y9&lt;&gt;"",-(1-UnosPodataka!$M$10)*FinaIndicators!Y17,"")</f>
        <v>-1641.7239274265053</v>
      </c>
    </row>
    <row r="28" spans="1:25" x14ac:dyDescent="0.25">
      <c r="A28" s="81" t="s">
        <v>121</v>
      </c>
      <c r="B28" s="81"/>
      <c r="C28" s="81"/>
      <c r="D28" s="81"/>
      <c r="E28" s="39"/>
      <c r="F28" s="40">
        <f>IF(F9&lt;&gt;"",SUM(F21:F27),"")</f>
        <v>-17610.484610010069</v>
      </c>
      <c r="G28" s="40">
        <f t="shared" ref="G28:Y28" si="2">IF(G9&lt;&gt;"",SUM(G21:G27),"")</f>
        <v>-17610.484610010069</v>
      </c>
      <c r="H28" s="40">
        <f t="shared" si="2"/>
        <v>-17610.484610010069</v>
      </c>
      <c r="I28" s="40">
        <f t="shared" si="2"/>
        <v>-17610.484610010069</v>
      </c>
      <c r="J28" s="40">
        <f t="shared" si="2"/>
        <v>-17610.484610010069</v>
      </c>
      <c r="K28" s="40">
        <f t="shared" si="2"/>
        <v>-17610.484610010069</v>
      </c>
      <c r="L28" s="40">
        <f t="shared" si="2"/>
        <v>-17610.484610010069</v>
      </c>
      <c r="M28" s="40">
        <f t="shared" si="2"/>
        <v>-17610.484610010069</v>
      </c>
      <c r="N28" s="40">
        <f t="shared" si="2"/>
        <v>-17610.484610010069</v>
      </c>
      <c r="O28" s="40">
        <f t="shared" si="2"/>
        <v>-17610.484610010069</v>
      </c>
      <c r="P28" s="40">
        <f t="shared" si="2"/>
        <v>-17610.484610010069</v>
      </c>
      <c r="Q28" s="40">
        <f t="shared" si="2"/>
        <v>-17610.484610010069</v>
      </c>
      <c r="R28" s="40">
        <f t="shared" si="2"/>
        <v>-4800.4739274265048</v>
      </c>
      <c r="S28" s="40">
        <f t="shared" si="2"/>
        <v>-4800.4739274265048</v>
      </c>
      <c r="T28" s="40">
        <f t="shared" si="2"/>
        <v>-4800.4739274265048</v>
      </c>
      <c r="U28" s="40">
        <f t="shared" si="2"/>
        <v>-4800.4739274265048</v>
      </c>
      <c r="V28" s="40">
        <f t="shared" si="2"/>
        <v>-4800.4739274265048</v>
      </c>
      <c r="W28" s="40">
        <f t="shared" si="2"/>
        <v>-4800.4739274265048</v>
      </c>
      <c r="X28" s="40">
        <f t="shared" si="2"/>
        <v>-4800.4739274265048</v>
      </c>
      <c r="Y28" s="40">
        <f t="shared" si="2"/>
        <v>-4800.4739274265048</v>
      </c>
    </row>
    <row r="30" spans="1:25" x14ac:dyDescent="0.25">
      <c r="A30" t="s">
        <v>167</v>
      </c>
      <c r="E30" s="4">
        <f>-SUM(E11:E13)</f>
        <v>-122350</v>
      </c>
      <c r="F30" s="4">
        <f>+F28-F26-F33</f>
        <v>-14865.949412035852</v>
      </c>
      <c r="G30" s="4">
        <f t="shared" ref="G30:Y30" si="3">+G28-G26-G33</f>
        <v>-14925.133604322356</v>
      </c>
      <c r="H30" s="4">
        <f t="shared" si="3"/>
        <v>-14991.41989968324</v>
      </c>
      <c r="I30" s="4">
        <f t="shared" si="3"/>
        <v>-15065.660550487431</v>
      </c>
      <c r="J30" s="4">
        <f t="shared" si="3"/>
        <v>-15148.810079388126</v>
      </c>
      <c r="K30" s="4">
        <f t="shared" si="3"/>
        <v>-15241.937551756902</v>
      </c>
      <c r="L30" s="4">
        <f t="shared" si="3"/>
        <v>-15346.240320809933</v>
      </c>
      <c r="M30" s="4">
        <f t="shared" si="3"/>
        <v>-15463.059422149327</v>
      </c>
      <c r="N30" s="4">
        <f t="shared" si="3"/>
        <v>-15593.896815649447</v>
      </c>
      <c r="O30" s="4">
        <f t="shared" si="3"/>
        <v>-15740.434696369583</v>
      </c>
      <c r="P30" s="4">
        <f t="shared" si="3"/>
        <v>-15904.557122776134</v>
      </c>
      <c r="Q30" s="4">
        <f t="shared" si="3"/>
        <v>-16088.374240351473</v>
      </c>
      <c r="R30" s="4">
        <f t="shared" si="3"/>
        <v>-3484.2387294522873</v>
      </c>
      <c r="S30" s="4">
        <f t="shared" si="3"/>
        <v>-3484.2387294522873</v>
      </c>
      <c r="T30" s="4">
        <f t="shared" si="3"/>
        <v>-3484.2387294522873</v>
      </c>
      <c r="U30" s="4">
        <f t="shared" si="3"/>
        <v>-3484.2387294522873</v>
      </c>
      <c r="V30" s="4">
        <f t="shared" si="3"/>
        <v>-3484.2387294522873</v>
      </c>
      <c r="W30" s="4">
        <f t="shared" si="3"/>
        <v>-3484.2387294522873</v>
      </c>
      <c r="X30" s="4">
        <f t="shared" si="3"/>
        <v>-3484.2387294522873</v>
      </c>
      <c r="Y30" s="4">
        <f t="shared" si="3"/>
        <v>-3484.2387294522873</v>
      </c>
    </row>
    <row r="31" spans="1:25" x14ac:dyDescent="0.25">
      <c r="A31" s="66" t="s">
        <v>168</v>
      </c>
      <c r="B31" s="66"/>
      <c r="C31" s="66"/>
      <c r="D31" s="66"/>
      <c r="F31" s="4">
        <f>IF(F9&lt;&gt;"",F18+F28-F22,"")</f>
        <v>2094.7653468385488</v>
      </c>
      <c r="G31" s="4">
        <f t="shared" ref="G31:Y31" si="4">IF(G9&lt;&gt;"",G18+G28-G22,"")</f>
        <v>2489.3266287485767</v>
      </c>
      <c r="H31" s="4">
        <f t="shared" si="4"/>
        <v>2931.2352644878101</v>
      </c>
      <c r="I31" s="4">
        <f t="shared" si="4"/>
        <v>3426.1729365157489</v>
      </c>
      <c r="J31" s="4">
        <f t="shared" si="4"/>
        <v>3980.50312918704</v>
      </c>
      <c r="K31" s="4">
        <f t="shared" si="4"/>
        <v>4601.3529449788866</v>
      </c>
      <c r="L31" s="4">
        <f t="shared" si="4"/>
        <v>5296.7047386657541</v>
      </c>
      <c r="M31" s="4">
        <f t="shared" si="4"/>
        <v>6075.4987475950456</v>
      </c>
      <c r="N31" s="4">
        <f t="shared" si="4"/>
        <v>6947.7480375958521</v>
      </c>
      <c r="O31" s="4">
        <f t="shared" si="4"/>
        <v>7924.6672423967557</v>
      </c>
      <c r="P31" s="4">
        <f t="shared" si="4"/>
        <v>9018.8167517737675</v>
      </c>
      <c r="Q31" s="4">
        <f t="shared" si="4"/>
        <v>10244.264202276021</v>
      </c>
      <c r="R31" s="4">
        <f t="shared" si="4"/>
        <v>11616.765346838551</v>
      </c>
      <c r="S31" s="4">
        <f t="shared" si="4"/>
        <v>11616.765346838551</v>
      </c>
      <c r="T31" s="4">
        <f t="shared" si="4"/>
        <v>11616.765346838551</v>
      </c>
      <c r="U31" s="4">
        <f t="shared" si="4"/>
        <v>11616.765346838551</v>
      </c>
      <c r="V31" s="4">
        <f t="shared" si="4"/>
        <v>11616.765346838551</v>
      </c>
      <c r="W31" s="4">
        <f t="shared" si="4"/>
        <v>11616.765346838551</v>
      </c>
      <c r="X31" s="4">
        <f t="shared" si="4"/>
        <v>11616.765346838551</v>
      </c>
      <c r="Y31" s="4">
        <f t="shared" si="4"/>
        <v>11616.765346838551</v>
      </c>
    </row>
    <row r="32" spans="1:25" x14ac:dyDescent="0.25">
      <c r="A32" s="78"/>
      <c r="B32" s="78"/>
      <c r="C32" s="78"/>
      <c r="D32" s="78"/>
    </row>
    <row r="33" spans="1:25" x14ac:dyDescent="0.25">
      <c r="A33" s="73" t="s">
        <v>122</v>
      </c>
      <c r="B33" s="73"/>
      <c r="C33" s="73"/>
      <c r="D33" s="73"/>
      <c r="F33" s="4">
        <f>IF(F9&lt;&gt;"",IF(F31&gt;0,F31*VAT,0),"")</f>
        <v>314.21480202578232</v>
      </c>
      <c r="G33" s="4">
        <f t="shared" ref="G33:Y33" si="5">IF(G9&lt;&gt;"",IF(G31&gt;0,G31*VAT,0),"")</f>
        <v>373.3989943122865</v>
      </c>
      <c r="H33" s="4">
        <f t="shared" si="5"/>
        <v>439.6852896731715</v>
      </c>
      <c r="I33" s="4">
        <f t="shared" si="5"/>
        <v>513.92594047736236</v>
      </c>
      <c r="J33" s="4">
        <f t="shared" si="5"/>
        <v>597.07546937805603</v>
      </c>
      <c r="K33" s="4">
        <f t="shared" si="5"/>
        <v>690.20294174683295</v>
      </c>
      <c r="L33" s="4">
        <f t="shared" si="5"/>
        <v>794.5057107998631</v>
      </c>
      <c r="M33" s="4">
        <f t="shared" si="5"/>
        <v>911.32481213925678</v>
      </c>
      <c r="N33" s="4">
        <f t="shared" si="5"/>
        <v>1042.1622056393778</v>
      </c>
      <c r="O33" s="4">
        <f t="shared" si="5"/>
        <v>1188.7000863595133</v>
      </c>
      <c r="P33" s="4">
        <f t="shared" si="5"/>
        <v>1352.8225127660651</v>
      </c>
      <c r="Q33" s="4">
        <f t="shared" si="5"/>
        <v>1536.6396303414031</v>
      </c>
      <c r="R33" s="4">
        <f t="shared" si="5"/>
        <v>1742.5148020257825</v>
      </c>
      <c r="S33" s="4">
        <f t="shared" si="5"/>
        <v>1742.5148020257825</v>
      </c>
      <c r="T33" s="4">
        <f t="shared" si="5"/>
        <v>1742.5148020257825</v>
      </c>
      <c r="U33" s="4">
        <f t="shared" si="5"/>
        <v>1742.5148020257825</v>
      </c>
      <c r="V33" s="4">
        <f t="shared" si="5"/>
        <v>1742.5148020257825</v>
      </c>
      <c r="W33" s="4">
        <f t="shared" si="5"/>
        <v>1742.5148020257825</v>
      </c>
      <c r="X33" s="4">
        <f t="shared" si="5"/>
        <v>1742.5148020257825</v>
      </c>
      <c r="Y33" s="4">
        <f t="shared" si="5"/>
        <v>1742.5148020257825</v>
      </c>
    </row>
    <row r="34" spans="1:25" x14ac:dyDescent="0.25">
      <c r="A34" s="66" t="s">
        <v>123</v>
      </c>
      <c r="B34" s="66"/>
      <c r="C34" s="66"/>
      <c r="D34" s="66"/>
      <c r="E34" s="4"/>
      <c r="F34" s="4">
        <f>IF(F9&lt;&gt;"",F31-F33,"")</f>
        <v>1780.5505448127665</v>
      </c>
      <c r="G34" s="4">
        <f t="shared" ref="G34:Y34" si="6">IF(G9&lt;&gt;"",G31-G33,"")</f>
        <v>2115.9276344362902</v>
      </c>
      <c r="H34" s="4">
        <f t="shared" si="6"/>
        <v>2491.5499748146385</v>
      </c>
      <c r="I34" s="4">
        <f t="shared" si="6"/>
        <v>2912.2469960383864</v>
      </c>
      <c r="J34" s="4">
        <f t="shared" si="6"/>
        <v>3383.4276598089841</v>
      </c>
      <c r="K34" s="4">
        <f t="shared" si="6"/>
        <v>3911.1500032320537</v>
      </c>
      <c r="L34" s="4">
        <f t="shared" si="6"/>
        <v>4502.1990278658914</v>
      </c>
      <c r="M34" s="4">
        <f t="shared" si="6"/>
        <v>5164.1739354557885</v>
      </c>
      <c r="N34" s="4">
        <f t="shared" si="6"/>
        <v>5905.5858319564741</v>
      </c>
      <c r="O34" s="4">
        <f t="shared" si="6"/>
        <v>6735.9671560372426</v>
      </c>
      <c r="P34" s="4">
        <f t="shared" si="6"/>
        <v>7665.9942390077022</v>
      </c>
      <c r="Q34" s="4">
        <f t="shared" si="6"/>
        <v>8707.6245719346189</v>
      </c>
      <c r="R34" s="4">
        <f t="shared" si="6"/>
        <v>9874.2505448127686</v>
      </c>
      <c r="S34" s="4">
        <f t="shared" si="6"/>
        <v>9874.2505448127686</v>
      </c>
      <c r="T34" s="4">
        <f t="shared" si="6"/>
        <v>9874.2505448127686</v>
      </c>
      <c r="U34" s="4">
        <f t="shared" si="6"/>
        <v>9874.2505448127686</v>
      </c>
      <c r="V34" s="4">
        <f t="shared" si="6"/>
        <v>9874.2505448127686</v>
      </c>
      <c r="W34" s="4">
        <f t="shared" si="6"/>
        <v>9874.2505448127686</v>
      </c>
      <c r="X34" s="4">
        <f t="shared" si="6"/>
        <v>9874.2505448127686</v>
      </c>
      <c r="Y34" s="4">
        <f t="shared" si="6"/>
        <v>9874.2505448127686</v>
      </c>
    </row>
    <row r="36" spans="1:25" x14ac:dyDescent="0.25">
      <c r="A36" s="42" t="s">
        <v>177</v>
      </c>
      <c r="E36" s="4">
        <f>-SUM(E11:E13)</f>
        <v>-122350</v>
      </c>
      <c r="F36" s="4">
        <f>+F18+F30-F33</f>
        <v>1237.0750602034209</v>
      </c>
      <c r="G36" s="4">
        <f t="shared" ref="G36:Y36" si="7">+G18+G30-G33</f>
        <v>1118.7066756304125</v>
      </c>
      <c r="H36" s="4">
        <f t="shared" si="7"/>
        <v>986.13408490864379</v>
      </c>
      <c r="I36" s="4">
        <f t="shared" si="7"/>
        <v>837.6527833002616</v>
      </c>
      <c r="J36" s="4">
        <f t="shared" si="7"/>
        <v>671.35372549887359</v>
      </c>
      <c r="K36" s="4">
        <f t="shared" si="7"/>
        <v>485.09878076132009</v>
      </c>
      <c r="L36" s="4">
        <f t="shared" si="7"/>
        <v>276.49324265525922</v>
      </c>
      <c r="M36" s="4">
        <f t="shared" si="7"/>
        <v>42.855039976472085</v>
      </c>
      <c r="N36" s="4">
        <f t="shared" si="7"/>
        <v>-218.81974702376897</v>
      </c>
      <c r="O36" s="4">
        <f t="shared" si="7"/>
        <v>-511.8955084640404</v>
      </c>
      <c r="P36" s="4">
        <f t="shared" si="7"/>
        <v>-840.14036127714348</v>
      </c>
      <c r="Q36" s="4">
        <f t="shared" si="7"/>
        <v>-1207.7745964278211</v>
      </c>
      <c r="R36" s="4">
        <f t="shared" si="7"/>
        <v>11190.485742786987</v>
      </c>
      <c r="S36" s="4">
        <f t="shared" si="7"/>
        <v>11190.485742786987</v>
      </c>
      <c r="T36" s="4">
        <f t="shared" si="7"/>
        <v>11190.485742786987</v>
      </c>
      <c r="U36" s="4">
        <f t="shared" si="7"/>
        <v>11190.485742786987</v>
      </c>
      <c r="V36" s="4">
        <f t="shared" si="7"/>
        <v>11190.485742786987</v>
      </c>
      <c r="W36" s="4">
        <f t="shared" si="7"/>
        <v>11190.485742786987</v>
      </c>
      <c r="X36" s="4">
        <f t="shared" si="7"/>
        <v>11190.485742786987</v>
      </c>
      <c r="Y36" s="4">
        <f t="shared" si="7"/>
        <v>11190.485742786987</v>
      </c>
    </row>
    <row r="37" spans="1:25" x14ac:dyDescent="0.25">
      <c r="A37" s="42" t="s">
        <v>178</v>
      </c>
      <c r="E37" s="4">
        <f>+E36</f>
        <v>-122350</v>
      </c>
      <c r="F37" s="4">
        <f>+E37+F36</f>
        <v>-121112.92493979658</v>
      </c>
      <c r="G37" s="4">
        <f t="shared" ref="G37:Y37" si="8">+F37+G36</f>
        <v>-119994.21826416616</v>
      </c>
      <c r="H37" s="4">
        <f t="shared" si="8"/>
        <v>-119008.08417925752</v>
      </c>
      <c r="I37" s="4">
        <f t="shared" si="8"/>
        <v>-118170.43139595726</v>
      </c>
      <c r="J37" s="4">
        <f t="shared" si="8"/>
        <v>-117499.07767045838</v>
      </c>
      <c r="K37" s="4">
        <f t="shared" si="8"/>
        <v>-117013.97888969706</v>
      </c>
      <c r="L37" s="4">
        <f t="shared" si="8"/>
        <v>-116737.4856470418</v>
      </c>
      <c r="M37" s="4">
        <f t="shared" si="8"/>
        <v>-116694.63060706532</v>
      </c>
      <c r="N37" s="4">
        <f t="shared" si="8"/>
        <v>-116913.45035408909</v>
      </c>
      <c r="O37" s="4">
        <f t="shared" si="8"/>
        <v>-117425.34586255313</v>
      </c>
      <c r="P37" s="4">
        <f t="shared" si="8"/>
        <v>-118265.48622383027</v>
      </c>
      <c r="Q37" s="4">
        <f t="shared" si="8"/>
        <v>-119473.26082025809</v>
      </c>
      <c r="R37" s="4">
        <f t="shared" si="8"/>
        <v>-108282.7750774711</v>
      </c>
      <c r="S37" s="4">
        <f t="shared" si="8"/>
        <v>-97092.289334684116</v>
      </c>
      <c r="T37" s="4">
        <f t="shared" si="8"/>
        <v>-85901.803591897129</v>
      </c>
      <c r="U37" s="4">
        <f t="shared" si="8"/>
        <v>-74711.317849110143</v>
      </c>
      <c r="V37" s="4">
        <f t="shared" si="8"/>
        <v>-63520.832106323156</v>
      </c>
      <c r="W37" s="4">
        <f t="shared" si="8"/>
        <v>-52330.34636353617</v>
      </c>
      <c r="X37" s="4">
        <f t="shared" si="8"/>
        <v>-41139.860620749183</v>
      </c>
      <c r="Y37" s="4">
        <f t="shared" si="8"/>
        <v>-29949.374877962196</v>
      </c>
    </row>
    <row r="38" spans="1:25" x14ac:dyDescent="0.25">
      <c r="A38" s="21"/>
    </row>
    <row r="39" spans="1:25" x14ac:dyDescent="0.25">
      <c r="A39" s="42" t="s">
        <v>66</v>
      </c>
      <c r="E39" s="10">
        <f>+PomTab1!L25</f>
        <v>7.9255414793624843E-2</v>
      </c>
    </row>
    <row r="40" spans="1:25" x14ac:dyDescent="0.25">
      <c r="A40" s="42" t="s">
        <v>179</v>
      </c>
      <c r="E40" s="4">
        <f>IF(E9&lt;&gt;"",E36*(1+$E$39)^-E9,"")</f>
        <v>-122350</v>
      </c>
      <c r="F40" s="4">
        <f>IF(F9&lt;&gt;"",F36*(1+$E$39)^-F9,"")</f>
        <v>1146.2301168440042</v>
      </c>
      <c r="G40" s="4">
        <f t="shared" ref="G40:Y40" si="9">IF(G9&lt;&gt;"",G36*(1+$E$39)^-G9,"")</f>
        <v>960.43451120433758</v>
      </c>
      <c r="H40" s="4">
        <f t="shared" si="9"/>
        <v>784.44637660302283</v>
      </c>
      <c r="I40" s="4">
        <f t="shared" si="9"/>
        <v>617.40066205267635</v>
      </c>
      <c r="J40" s="4">
        <f t="shared" si="9"/>
        <v>458.49037387403354</v>
      </c>
      <c r="K40" s="4">
        <f t="shared" si="9"/>
        <v>306.96210581312215</v>
      </c>
      <c r="L40" s="4">
        <f t="shared" si="9"/>
        <v>162.11188961230161</v>
      </c>
      <c r="M40" s="4">
        <f t="shared" si="9"/>
        <v>23.281342208344121</v>
      </c>
      <c r="N40" s="4">
        <f t="shared" si="9"/>
        <v>-110.14591253066418</v>
      </c>
      <c r="O40" s="4">
        <f t="shared" si="9"/>
        <v>-238.74756800726792</v>
      </c>
      <c r="P40" s="4">
        <f t="shared" si="9"/>
        <v>-363.0657240212949</v>
      </c>
      <c r="Q40" s="4">
        <f t="shared" si="9"/>
        <v>-483.60975842526329</v>
      </c>
      <c r="R40" s="4">
        <f t="shared" si="9"/>
        <v>4151.7755492412971</v>
      </c>
      <c r="S40" s="4">
        <f t="shared" si="9"/>
        <v>3846.8887830738363</v>
      </c>
      <c r="T40" s="4">
        <f t="shared" si="9"/>
        <v>3564.3914594669309</v>
      </c>
      <c r="U40" s="4">
        <f t="shared" si="9"/>
        <v>3302.6394036193128</v>
      </c>
      <c r="V40" s="4">
        <f t="shared" si="9"/>
        <v>3060.1091811532337</v>
      </c>
      <c r="W40" s="4">
        <f t="shared" si="9"/>
        <v>2835.3892315086391</v>
      </c>
      <c r="X40" s="4">
        <f t="shared" si="9"/>
        <v>2627.1716524589519</v>
      </c>
      <c r="Y40" s="4">
        <f t="shared" si="9"/>
        <v>2434.2445879331717</v>
      </c>
    </row>
    <row r="41" spans="1:25" x14ac:dyDescent="0.25">
      <c r="A41" s="42" t="s">
        <v>180</v>
      </c>
      <c r="E41" s="4">
        <f>+E40</f>
        <v>-122350</v>
      </c>
      <c r="F41" s="4">
        <f>+E41+F40</f>
        <v>-121203.769883156</v>
      </c>
      <c r="G41" s="4">
        <f t="shared" ref="G41:Y41" si="10">+F41+G40</f>
        <v>-120243.33537195166</v>
      </c>
      <c r="H41" s="4">
        <f t="shared" si="10"/>
        <v>-119458.88899534864</v>
      </c>
      <c r="I41" s="4">
        <f t="shared" si="10"/>
        <v>-118841.48833329596</v>
      </c>
      <c r="J41" s="4">
        <f t="shared" si="10"/>
        <v>-118382.99795942192</v>
      </c>
      <c r="K41" s="4">
        <f t="shared" si="10"/>
        <v>-118076.0358536088</v>
      </c>
      <c r="L41" s="4">
        <f t="shared" si="10"/>
        <v>-117913.92396399649</v>
      </c>
      <c r="M41" s="4">
        <f t="shared" si="10"/>
        <v>-117890.64262178815</v>
      </c>
      <c r="N41" s="4">
        <f t="shared" si="10"/>
        <v>-118000.78853431881</v>
      </c>
      <c r="O41" s="4">
        <f t="shared" si="10"/>
        <v>-118239.53610232608</v>
      </c>
      <c r="P41" s="4">
        <f t="shared" si="10"/>
        <v>-118602.60182634737</v>
      </c>
      <c r="Q41" s="4">
        <f t="shared" si="10"/>
        <v>-119086.21158477262</v>
      </c>
      <c r="R41" s="4">
        <f t="shared" si="10"/>
        <v>-114934.43603553133</v>
      </c>
      <c r="S41" s="4">
        <f t="shared" si="10"/>
        <v>-111087.54725245749</v>
      </c>
      <c r="T41" s="4">
        <f t="shared" si="10"/>
        <v>-107523.15579299055</v>
      </c>
      <c r="U41" s="4">
        <f t="shared" si="10"/>
        <v>-104220.51638937125</v>
      </c>
      <c r="V41" s="4">
        <f t="shared" si="10"/>
        <v>-101160.40720821801</v>
      </c>
      <c r="W41" s="4">
        <f t="shared" si="10"/>
        <v>-98325.017976709365</v>
      </c>
      <c r="X41" s="4">
        <f t="shared" si="10"/>
        <v>-95697.846324250408</v>
      </c>
      <c r="Y41" s="4">
        <f t="shared" si="10"/>
        <v>-93263.601736317243</v>
      </c>
    </row>
    <row r="42" spans="1:25" x14ac:dyDescent="0.25">
      <c r="A42" s="42"/>
    </row>
    <row r="43" spans="1:25" x14ac:dyDescent="0.25">
      <c r="A43" s="43" t="s">
        <v>181</v>
      </c>
      <c r="B43" s="45"/>
      <c r="C43" s="45"/>
      <c r="D43" s="45"/>
      <c r="E43" s="44">
        <f>+NPV(E39,E36:Y36)</f>
        <v>-86414.76378800573</v>
      </c>
      <c r="F43" s="45"/>
    </row>
    <row r="44" spans="1:25" x14ac:dyDescent="0.25">
      <c r="A44" s="43" t="s">
        <v>182</v>
      </c>
      <c r="B44" s="45"/>
      <c r="C44" s="45"/>
      <c r="D44" s="45"/>
      <c r="E44" s="46">
        <f>+IRR(E36:Y36,10)</f>
        <v>-1.7421223413569775E-2</v>
      </c>
      <c r="F44" s="45"/>
    </row>
    <row r="45" spans="1:25" x14ac:dyDescent="0.25">
      <c r="A45" s="43" t="s">
        <v>183</v>
      </c>
      <c r="B45" s="45"/>
      <c r="C45" s="45"/>
      <c r="D45" s="45"/>
      <c r="E45" s="44" cm="1">
        <f t="array" ref="E45">+NPV(E39,E18:X18/-NPV(E39,E30:Y30))</f>
        <v>0.64461747143482617</v>
      </c>
      <c r="F45" s="45"/>
    </row>
    <row r="46" spans="1:25" x14ac:dyDescent="0.25">
      <c r="A46" s="43" t="s">
        <v>184</v>
      </c>
      <c r="B46" s="45"/>
      <c r="C46" s="45"/>
      <c r="D46" s="45"/>
      <c r="E46" s="45" t="e" cm="1">
        <f t="array" ref="E46">+LOOKUP(INDEX(E37:Y37,MATCH(TRUE,E37:Y37&gt;0,0)),E37:Y37,E9:Y9)</f>
        <v>#N/A</v>
      </c>
      <c r="F46" s="45" t="s">
        <v>186</v>
      </c>
    </row>
    <row r="47" spans="1:25" x14ac:dyDescent="0.25">
      <c r="A47" s="43" t="s">
        <v>185</v>
      </c>
      <c r="B47" s="45"/>
      <c r="C47" s="45"/>
      <c r="D47" s="45"/>
      <c r="E47" s="45" t="e" cm="1">
        <f t="array" ref="E47">+LOOKUP(INDEX(E41:Y41,MATCH(TRUE,E41:Y41&gt;0,0)),E41:Y41,E9:Y9)</f>
        <v>#N/A</v>
      </c>
      <c r="F47" s="45" t="s">
        <v>186</v>
      </c>
    </row>
    <row r="50" spans="1:26" x14ac:dyDescent="0.25">
      <c r="A50" s="73" t="s">
        <v>169</v>
      </c>
      <c r="B50" s="73"/>
      <c r="C50" s="73"/>
      <c r="D50" s="73"/>
      <c r="E50" s="4">
        <f>-SUM(E11:E13)</f>
        <v>-122350</v>
      </c>
      <c r="F50" s="4">
        <f>IF(F9&lt;&gt;"",F28,"")</f>
        <v>-17610.484610010069</v>
      </c>
      <c r="G50" s="4">
        <f t="shared" ref="G50:Y50" si="11">IF(G9&lt;&gt;"",G28,"")</f>
        <v>-17610.484610010069</v>
      </c>
      <c r="H50" s="4">
        <f t="shared" si="11"/>
        <v>-17610.484610010069</v>
      </c>
      <c r="I50" s="4">
        <f t="shared" si="11"/>
        <v>-17610.484610010069</v>
      </c>
      <c r="J50" s="4">
        <f t="shared" si="11"/>
        <v>-17610.484610010069</v>
      </c>
      <c r="K50" s="4">
        <f t="shared" si="11"/>
        <v>-17610.484610010069</v>
      </c>
      <c r="L50" s="4">
        <f t="shared" si="11"/>
        <v>-17610.484610010069</v>
      </c>
      <c r="M50" s="4">
        <f t="shared" si="11"/>
        <v>-17610.484610010069</v>
      </c>
      <c r="N50" s="4">
        <f t="shared" si="11"/>
        <v>-17610.484610010069</v>
      </c>
      <c r="O50" s="4">
        <f t="shared" si="11"/>
        <v>-17610.484610010069</v>
      </c>
      <c r="P50" s="4">
        <f t="shared" si="11"/>
        <v>-17610.484610010069</v>
      </c>
      <c r="Q50" s="4">
        <f t="shared" si="11"/>
        <v>-17610.484610010069</v>
      </c>
      <c r="R50" s="4">
        <f t="shared" si="11"/>
        <v>-4800.4739274265048</v>
      </c>
      <c r="S50" s="4">
        <f t="shared" si="11"/>
        <v>-4800.4739274265048</v>
      </c>
      <c r="T50" s="4">
        <f t="shared" si="11"/>
        <v>-4800.4739274265048</v>
      </c>
      <c r="U50" s="4">
        <f t="shared" si="11"/>
        <v>-4800.4739274265048</v>
      </c>
      <c r="V50" s="4">
        <f t="shared" si="11"/>
        <v>-4800.4739274265048</v>
      </c>
      <c r="W50" s="4">
        <f t="shared" si="11"/>
        <v>-4800.4739274265048</v>
      </c>
      <c r="X50" s="4">
        <f t="shared" si="11"/>
        <v>-4800.4739274265048</v>
      </c>
      <c r="Y50" s="4">
        <f t="shared" si="11"/>
        <v>-4800.4739274265048</v>
      </c>
      <c r="Z50" s="4"/>
    </row>
    <row r="51" spans="1:26" x14ac:dyDescent="0.25">
      <c r="A51" s="73" t="s">
        <v>170</v>
      </c>
      <c r="B51" s="73"/>
      <c r="C51" s="73"/>
      <c r="D51" s="73"/>
      <c r="E51" s="4">
        <f>IF(E9&lt;&gt;"",E50*(1+$E$39)^-E9,"")</f>
        <v>-122350</v>
      </c>
      <c r="F51" s="4">
        <f>IF(F9&lt;&gt;"",F50*(1+$E$39)^-F9,"")</f>
        <v>-16317.253885056991</v>
      </c>
      <c r="G51" s="4">
        <f t="shared" ref="G51:Y51" si="12">IF(G9&lt;&gt;"",G50*(1+$E$39)^-G9,"")</f>
        <v>-15118.991909970797</v>
      </c>
      <c r="H51" s="4">
        <f t="shared" si="12"/>
        <v>-14008.724628786642</v>
      </c>
      <c r="I51" s="4">
        <f t="shared" si="12"/>
        <v>-12979.990127235442</v>
      </c>
      <c r="J51" s="4">
        <f t="shared" si="12"/>
        <v>-12026.801023479205</v>
      </c>
      <c r="K51" s="4">
        <f t="shared" si="12"/>
        <v>-11143.609620692958</v>
      </c>
      <c r="L51" s="4">
        <f t="shared" si="12"/>
        <v>-10325.275618676267</v>
      </c>
      <c r="M51" s="4">
        <f t="shared" si="12"/>
        <v>-9567.0361965713819</v>
      </c>
      <c r="N51" s="4">
        <f t="shared" si="12"/>
        <v>-8864.4782925650543</v>
      </c>
      <c r="O51" s="4">
        <f t="shared" si="12"/>
        <v>-8213.5129192380464</v>
      </c>
      <c r="P51" s="4">
        <f t="shared" si="12"/>
        <v>-7610.351365073886</v>
      </c>
      <c r="Q51" s="4">
        <f t="shared" si="12"/>
        <v>-7051.4831436163222</v>
      </c>
      <c r="R51" s="4">
        <f t="shared" si="12"/>
        <v>-1781.0210150623918</v>
      </c>
      <c r="S51" s="4">
        <f t="shared" si="12"/>
        <v>-1650.2312526298124</v>
      </c>
      <c r="T51" s="4">
        <f t="shared" si="12"/>
        <v>-1529.0460719582024</v>
      </c>
      <c r="U51" s="4">
        <f t="shared" si="12"/>
        <v>-1416.7601579748261</v>
      </c>
      <c r="V51" s="4">
        <f t="shared" si="12"/>
        <v>-1312.7199906110632</v>
      </c>
      <c r="W51" s="4">
        <f t="shared" si="12"/>
        <v>-1216.3200412221988</v>
      </c>
      <c r="X51" s="4">
        <f t="shared" si="12"/>
        <v>-1126.9992483241638</v>
      </c>
      <c r="Y51" s="4">
        <f t="shared" si="12"/>
        <v>-1044.2377521355022</v>
      </c>
      <c r="Z51" s="4"/>
    </row>
    <row r="52" spans="1:26" x14ac:dyDescent="0.25">
      <c r="A52" s="73" t="s">
        <v>171</v>
      </c>
      <c r="B52" s="73"/>
      <c r="C52" s="73"/>
      <c r="D52" s="73"/>
      <c r="E52" s="4">
        <f>+E51</f>
        <v>-122350</v>
      </c>
      <c r="F52" s="4">
        <f>+E52+F51</f>
        <v>-138667.253885057</v>
      </c>
      <c r="G52" s="4">
        <f t="shared" ref="G52:Y52" si="13">+F52+G51</f>
        <v>-153786.24579502779</v>
      </c>
      <c r="H52" s="4">
        <f t="shared" si="13"/>
        <v>-167794.97042381443</v>
      </c>
      <c r="I52" s="4">
        <f t="shared" si="13"/>
        <v>-180774.96055104988</v>
      </c>
      <c r="J52" s="4">
        <f t="shared" si="13"/>
        <v>-192801.76157452908</v>
      </c>
      <c r="K52" s="4">
        <f t="shared" si="13"/>
        <v>-203945.37119522205</v>
      </c>
      <c r="L52" s="4">
        <f t="shared" si="13"/>
        <v>-214270.64681389832</v>
      </c>
      <c r="M52" s="4">
        <f t="shared" si="13"/>
        <v>-223837.68301046971</v>
      </c>
      <c r="N52" s="4">
        <f t="shared" si="13"/>
        <v>-232702.16130303478</v>
      </c>
      <c r="O52" s="4">
        <f t="shared" si="13"/>
        <v>-240915.67422227282</v>
      </c>
      <c r="P52" s="4">
        <f t="shared" si="13"/>
        <v>-248526.0255873467</v>
      </c>
      <c r="Q52" s="4">
        <f t="shared" si="13"/>
        <v>-255577.50873096302</v>
      </c>
      <c r="R52" s="4">
        <f t="shared" si="13"/>
        <v>-257358.52974602542</v>
      </c>
      <c r="S52" s="4">
        <f t="shared" si="13"/>
        <v>-259008.76099865523</v>
      </c>
      <c r="T52" s="4">
        <f t="shared" si="13"/>
        <v>-260537.80707061343</v>
      </c>
      <c r="U52" s="4">
        <f t="shared" si="13"/>
        <v>-261954.56722858825</v>
      </c>
      <c r="V52" s="4">
        <f t="shared" si="13"/>
        <v>-263267.28721919929</v>
      </c>
      <c r="W52" s="4">
        <f t="shared" si="13"/>
        <v>-264483.6072604215</v>
      </c>
      <c r="X52" s="4">
        <f t="shared" si="13"/>
        <v>-265610.60650874564</v>
      </c>
      <c r="Y52" s="4">
        <f t="shared" si="13"/>
        <v>-266654.84426088113</v>
      </c>
    </row>
    <row r="53" spans="1:26" x14ac:dyDescent="0.25">
      <c r="A53" s="73" t="s">
        <v>172</v>
      </c>
      <c r="B53" s="73"/>
      <c r="C53" s="73"/>
      <c r="D53" s="73"/>
      <c r="E53" s="4"/>
      <c r="F53" s="4">
        <f t="shared" ref="F53:Y53" si="14">IF(F9&lt;&gt;"",F18,"")</f>
        <v>16417.239274265055</v>
      </c>
      <c r="G53" s="4">
        <f t="shared" si="14"/>
        <v>16417.239274265055</v>
      </c>
      <c r="H53" s="4">
        <f t="shared" si="14"/>
        <v>16417.239274265055</v>
      </c>
      <c r="I53" s="4">
        <f t="shared" si="14"/>
        <v>16417.239274265055</v>
      </c>
      <c r="J53" s="4">
        <f t="shared" si="14"/>
        <v>16417.239274265055</v>
      </c>
      <c r="K53" s="4">
        <f t="shared" si="14"/>
        <v>16417.239274265055</v>
      </c>
      <c r="L53" s="4">
        <f t="shared" si="14"/>
        <v>16417.239274265055</v>
      </c>
      <c r="M53" s="4">
        <f t="shared" si="14"/>
        <v>16417.239274265055</v>
      </c>
      <c r="N53" s="4">
        <f t="shared" si="14"/>
        <v>16417.239274265055</v>
      </c>
      <c r="O53" s="4">
        <f t="shared" si="14"/>
        <v>16417.239274265055</v>
      </c>
      <c r="P53" s="4">
        <f t="shared" si="14"/>
        <v>16417.239274265055</v>
      </c>
      <c r="Q53" s="4">
        <f t="shared" si="14"/>
        <v>16417.239274265055</v>
      </c>
      <c r="R53" s="4">
        <f t="shared" si="14"/>
        <v>16417.239274265055</v>
      </c>
      <c r="S53" s="4">
        <f t="shared" si="14"/>
        <v>16417.239274265055</v>
      </c>
      <c r="T53" s="4">
        <f t="shared" si="14"/>
        <v>16417.239274265055</v>
      </c>
      <c r="U53" s="4">
        <f t="shared" si="14"/>
        <v>16417.239274265055</v>
      </c>
      <c r="V53" s="4">
        <f t="shared" si="14"/>
        <v>16417.239274265055</v>
      </c>
      <c r="W53" s="4">
        <f t="shared" si="14"/>
        <v>16417.239274265055</v>
      </c>
      <c r="X53" s="4">
        <f t="shared" si="14"/>
        <v>16417.239274265055</v>
      </c>
      <c r="Y53" s="4">
        <f t="shared" si="14"/>
        <v>16417.239274265055</v>
      </c>
    </row>
    <row r="54" spans="1:26" x14ac:dyDescent="0.25">
      <c r="A54" s="73" t="s">
        <v>173</v>
      </c>
      <c r="B54" s="73"/>
      <c r="C54" s="73"/>
      <c r="D54" s="73"/>
      <c r="F54" s="4">
        <f>IF(F9&lt;&gt;"",F53*(1+$E$39)^-F9,"")</f>
        <v>15211.634844940165</v>
      </c>
      <c r="G54" s="4">
        <f t="shared" ref="G54:Y54" si="15">IF(G9&lt;&gt;"",G53*(1+$E$39)^-G9,"")</f>
        <v>14094.564304640466</v>
      </c>
      <c r="H54" s="4">
        <f t="shared" si="15"/>
        <v>13059.526143156416</v>
      </c>
      <c r="I54" s="4">
        <f t="shared" si="15"/>
        <v>12100.496290448224</v>
      </c>
      <c r="J54" s="4">
        <f t="shared" si="15"/>
        <v>11211.893055697181</v>
      </c>
      <c r="K54" s="4">
        <f t="shared" si="15"/>
        <v>10388.544641067303</v>
      </c>
      <c r="L54" s="4">
        <f t="shared" si="15"/>
        <v>9625.6590411027028</v>
      </c>
      <c r="M54" s="4">
        <f t="shared" si="15"/>
        <v>8918.7961525709125</v>
      </c>
      <c r="N54" s="4">
        <f t="shared" si="15"/>
        <v>8263.8419324274255</v>
      </c>
      <c r="O54" s="4">
        <f t="shared" si="15"/>
        <v>7656.9844534971699</v>
      </c>
      <c r="P54" s="4">
        <f t="shared" si="15"/>
        <v>7094.6917185134889</v>
      </c>
      <c r="Q54" s="4">
        <f t="shared" si="15"/>
        <v>6573.6911033892156</v>
      </c>
      <c r="R54" s="4">
        <f t="shared" si="15"/>
        <v>6090.950310076727</v>
      </c>
      <c r="S54" s="4">
        <f t="shared" si="15"/>
        <v>5643.6597181598918</v>
      </c>
      <c r="T54" s="4">
        <f t="shared" si="15"/>
        <v>5229.2160324616689</v>
      </c>
      <c r="U54" s="4">
        <f t="shared" si="15"/>
        <v>4845.2071314940767</v>
      </c>
      <c r="V54" s="4">
        <f t="shared" si="15"/>
        <v>4489.3980285663683</v>
      </c>
      <c r="W54" s="4">
        <f t="shared" si="15"/>
        <v>4159.7178638430369</v>
      </c>
      <c r="X54" s="4">
        <f t="shared" si="15"/>
        <v>3854.2478516435867</v>
      </c>
      <c r="Y54" s="4">
        <f t="shared" si="15"/>
        <v>3571.2101128356126</v>
      </c>
    </row>
    <row r="55" spans="1:26" x14ac:dyDescent="0.25">
      <c r="A55" s="73" t="s">
        <v>174</v>
      </c>
      <c r="B55" s="73"/>
      <c r="C55" s="73"/>
      <c r="D55" s="73"/>
      <c r="F55" s="4">
        <f t="shared" ref="F55:Y55" si="16">IF(F9&lt;&gt;"",E55+F54,"")</f>
        <v>15211.634844940165</v>
      </c>
      <c r="G55" s="4">
        <f t="shared" si="16"/>
        <v>29306.199149580629</v>
      </c>
      <c r="H55" s="4">
        <f t="shared" si="16"/>
        <v>42365.725292737043</v>
      </c>
      <c r="I55" s="4">
        <f t="shared" si="16"/>
        <v>54466.221583185266</v>
      </c>
      <c r="J55" s="4">
        <f t="shared" si="16"/>
        <v>65678.114638882442</v>
      </c>
      <c r="K55" s="4">
        <f t="shared" si="16"/>
        <v>76066.659279949745</v>
      </c>
      <c r="L55" s="4">
        <f t="shared" si="16"/>
        <v>85692.318321052444</v>
      </c>
      <c r="M55" s="4">
        <f t="shared" si="16"/>
        <v>94611.114473623355</v>
      </c>
      <c r="N55" s="4">
        <f t="shared" si="16"/>
        <v>102874.95640605078</v>
      </c>
      <c r="O55" s="4">
        <f t="shared" si="16"/>
        <v>110531.94085954795</v>
      </c>
      <c r="P55" s="4">
        <f t="shared" si="16"/>
        <v>117626.63257806144</v>
      </c>
      <c r="Q55" s="4">
        <f t="shared" si="16"/>
        <v>124200.32368145065</v>
      </c>
      <c r="R55" s="4">
        <f t="shared" si="16"/>
        <v>130291.27399152739</v>
      </c>
      <c r="S55" s="4">
        <f t="shared" si="16"/>
        <v>135934.93370968726</v>
      </c>
      <c r="T55" s="4">
        <f t="shared" si="16"/>
        <v>141164.14974214893</v>
      </c>
      <c r="U55" s="4">
        <f t="shared" si="16"/>
        <v>146009.356873643</v>
      </c>
      <c r="V55" s="4">
        <f t="shared" si="16"/>
        <v>150498.75490220936</v>
      </c>
      <c r="W55" s="4">
        <f t="shared" si="16"/>
        <v>154658.47276605241</v>
      </c>
      <c r="X55" s="4">
        <f t="shared" si="16"/>
        <v>158512.720617696</v>
      </c>
      <c r="Y55" s="4">
        <f t="shared" si="16"/>
        <v>162083.9307305316</v>
      </c>
    </row>
    <row r="56" spans="1:26" x14ac:dyDescent="0.25">
      <c r="A56" s="73" t="s">
        <v>175</v>
      </c>
      <c r="B56" s="73"/>
      <c r="C56" s="73"/>
      <c r="D56" s="73"/>
      <c r="F56" s="4">
        <f t="shared" ref="F56:Y56" si="17">IF(F9&lt;&gt;"",F55+F52,"")</f>
        <v>-123455.61904011683</v>
      </c>
      <c r="G56" s="4">
        <f t="shared" si="17"/>
        <v>-124480.04664544716</v>
      </c>
      <c r="H56" s="4">
        <f t="shared" si="17"/>
        <v>-125429.24513107739</v>
      </c>
      <c r="I56" s="4">
        <f t="shared" si="17"/>
        <v>-126308.73896786461</v>
      </c>
      <c r="J56" s="4">
        <f t="shared" si="17"/>
        <v>-127123.64693564664</v>
      </c>
      <c r="K56" s="4">
        <f t="shared" si="17"/>
        <v>-127878.7119152723</v>
      </c>
      <c r="L56" s="4">
        <f t="shared" si="17"/>
        <v>-128578.32849284587</v>
      </c>
      <c r="M56" s="4">
        <f t="shared" si="17"/>
        <v>-129226.56853684636</v>
      </c>
      <c r="N56" s="4">
        <f t="shared" si="17"/>
        <v>-129827.204896984</v>
      </c>
      <c r="O56" s="4">
        <f t="shared" si="17"/>
        <v>-130383.73336272487</v>
      </c>
      <c r="P56" s="4">
        <f t="shared" si="17"/>
        <v>-130899.39300928525</v>
      </c>
      <c r="Q56" s="4">
        <f t="shared" si="17"/>
        <v>-131377.18504951237</v>
      </c>
      <c r="R56" s="4">
        <f t="shared" si="17"/>
        <v>-127067.25575449804</v>
      </c>
      <c r="S56" s="4">
        <f t="shared" si="17"/>
        <v>-123073.82728896796</v>
      </c>
      <c r="T56" s="4">
        <f t="shared" si="17"/>
        <v>-119373.6573284645</v>
      </c>
      <c r="U56" s="4">
        <f t="shared" si="17"/>
        <v>-115945.21035494524</v>
      </c>
      <c r="V56" s="4">
        <f t="shared" si="17"/>
        <v>-112768.53231698993</v>
      </c>
      <c r="W56" s="4">
        <f t="shared" si="17"/>
        <v>-109825.13449436909</v>
      </c>
      <c r="X56" s="4">
        <f t="shared" si="17"/>
        <v>-107097.88589104963</v>
      </c>
      <c r="Y56" s="4">
        <f t="shared" si="17"/>
        <v>-104570.91353034953</v>
      </c>
    </row>
    <row r="57" spans="1:26" x14ac:dyDescent="0.25">
      <c r="A57" s="41" t="s">
        <v>176</v>
      </c>
      <c r="B57" s="41"/>
      <c r="C57" s="41"/>
      <c r="D57" s="41"/>
      <c r="E57" s="45"/>
      <c r="F57" s="47">
        <f>-F50/F14</f>
        <v>64.019995391887093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73" t="s">
        <v>124</v>
      </c>
      <c r="B59" s="73"/>
      <c r="C59" s="73"/>
      <c r="D59" s="73"/>
      <c r="E59" s="4">
        <f>E11</f>
        <v>79350</v>
      </c>
      <c r="F59" s="4">
        <f t="shared" ref="F59:Y59" si="18">IF(F9="",E59,-F52)</f>
        <v>138667.253885057</v>
      </c>
      <c r="G59" s="4">
        <f t="shared" si="18"/>
        <v>153786.24579502779</v>
      </c>
      <c r="H59" s="4">
        <f t="shared" si="18"/>
        <v>167794.97042381443</v>
      </c>
      <c r="I59" s="4">
        <f t="shared" si="18"/>
        <v>180774.96055104988</v>
      </c>
      <c r="J59" s="4">
        <f t="shared" si="18"/>
        <v>192801.76157452908</v>
      </c>
      <c r="K59" s="4">
        <f t="shared" si="18"/>
        <v>203945.37119522205</v>
      </c>
      <c r="L59" s="4">
        <f t="shared" si="18"/>
        <v>214270.64681389832</v>
      </c>
      <c r="M59" s="4">
        <f t="shared" si="18"/>
        <v>223837.68301046971</v>
      </c>
      <c r="N59" s="4">
        <f t="shared" si="18"/>
        <v>232702.16130303478</v>
      </c>
      <c r="O59" s="4">
        <f t="shared" si="18"/>
        <v>240915.67422227282</v>
      </c>
      <c r="P59" s="4">
        <f t="shared" si="18"/>
        <v>248526.0255873467</v>
      </c>
      <c r="Q59" s="4">
        <f t="shared" si="18"/>
        <v>255577.50873096302</v>
      </c>
      <c r="R59" s="4">
        <f t="shared" si="18"/>
        <v>257358.52974602542</v>
      </c>
      <c r="S59" s="4">
        <f t="shared" si="18"/>
        <v>259008.76099865523</v>
      </c>
      <c r="T59" s="4">
        <f t="shared" si="18"/>
        <v>260537.80707061343</v>
      </c>
      <c r="U59" s="4">
        <f t="shared" si="18"/>
        <v>261954.56722858825</v>
      </c>
      <c r="V59" s="4">
        <f t="shared" si="18"/>
        <v>263267.28721919929</v>
      </c>
      <c r="W59" s="4">
        <f t="shared" si="18"/>
        <v>264483.6072604215</v>
      </c>
      <c r="X59" s="4">
        <f t="shared" si="18"/>
        <v>265610.60650874564</v>
      </c>
      <c r="Y59" s="4">
        <f t="shared" si="18"/>
        <v>266654.84426088113</v>
      </c>
    </row>
    <row r="60" spans="1:26" x14ac:dyDescent="0.25">
      <c r="A60" s="73" t="s">
        <v>125</v>
      </c>
      <c r="B60" s="73"/>
      <c r="C60" s="73"/>
      <c r="D60" s="73"/>
      <c r="F60" s="4">
        <f t="shared" ref="F60:Y60" si="19">IF(F9="",E60,F55)</f>
        <v>15211.634844940165</v>
      </c>
      <c r="G60" s="4">
        <f t="shared" si="19"/>
        <v>29306.199149580629</v>
      </c>
      <c r="H60" s="4">
        <f t="shared" si="19"/>
        <v>42365.725292737043</v>
      </c>
      <c r="I60" s="4">
        <f t="shared" si="19"/>
        <v>54466.221583185266</v>
      </c>
      <c r="J60" s="4">
        <f t="shared" si="19"/>
        <v>65678.114638882442</v>
      </c>
      <c r="K60" s="4">
        <f t="shared" si="19"/>
        <v>76066.659279949745</v>
      </c>
      <c r="L60" s="4">
        <f t="shared" si="19"/>
        <v>85692.318321052444</v>
      </c>
      <c r="M60" s="4">
        <f t="shared" si="19"/>
        <v>94611.114473623355</v>
      </c>
      <c r="N60" s="4">
        <f t="shared" si="19"/>
        <v>102874.95640605078</v>
      </c>
      <c r="O60" s="4">
        <f t="shared" si="19"/>
        <v>110531.94085954795</v>
      </c>
      <c r="P60" s="4">
        <f t="shared" si="19"/>
        <v>117626.63257806144</v>
      </c>
      <c r="Q60" s="4">
        <f t="shared" si="19"/>
        <v>124200.32368145065</v>
      </c>
      <c r="R60" s="4">
        <f t="shared" si="19"/>
        <v>130291.27399152739</v>
      </c>
      <c r="S60" s="4">
        <f t="shared" si="19"/>
        <v>135934.93370968726</v>
      </c>
      <c r="T60" s="4">
        <f t="shared" si="19"/>
        <v>141164.14974214893</v>
      </c>
      <c r="U60" s="4">
        <f t="shared" si="19"/>
        <v>146009.356873643</v>
      </c>
      <c r="V60" s="4">
        <f t="shared" si="19"/>
        <v>150498.75490220936</v>
      </c>
      <c r="W60" s="4">
        <f t="shared" si="19"/>
        <v>154658.47276605241</v>
      </c>
      <c r="X60" s="4">
        <f t="shared" si="19"/>
        <v>158512.720617696</v>
      </c>
      <c r="Y60" s="4">
        <f t="shared" si="19"/>
        <v>162083.9307305316</v>
      </c>
    </row>
  </sheetData>
  <sheetProtection selectLockedCells="1"/>
  <mergeCells count="34">
    <mergeCell ref="I7:J7"/>
    <mergeCell ref="N7:O7"/>
    <mergeCell ref="A56:D56"/>
    <mergeCell ref="A59:D59"/>
    <mergeCell ref="A60:D60"/>
    <mergeCell ref="A24:D24"/>
    <mergeCell ref="A25:D25"/>
    <mergeCell ref="A28:D28"/>
    <mergeCell ref="A27:D27"/>
    <mergeCell ref="A13:D13"/>
    <mergeCell ref="A17:D17"/>
    <mergeCell ref="A19:D19"/>
    <mergeCell ref="A14:D14"/>
    <mergeCell ref="A18:D18"/>
    <mergeCell ref="A23:D23"/>
    <mergeCell ref="A7:D7"/>
    <mergeCell ref="A55:D55"/>
    <mergeCell ref="A31:D31"/>
    <mergeCell ref="A33:D33"/>
    <mergeCell ref="A34:D34"/>
    <mergeCell ref="A32:D32"/>
    <mergeCell ref="A50:D50"/>
    <mergeCell ref="A51:D51"/>
    <mergeCell ref="A52:D52"/>
    <mergeCell ref="A53:D53"/>
    <mergeCell ref="A54:D54"/>
    <mergeCell ref="A26:D26"/>
    <mergeCell ref="E3:H3"/>
    <mergeCell ref="A9:D9"/>
    <mergeCell ref="A11:D11"/>
    <mergeCell ref="A12:D12"/>
    <mergeCell ref="A21:D21"/>
    <mergeCell ref="A16:D16"/>
    <mergeCell ref="A20:D20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nuity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1"/>
  <sheetViews>
    <sheetView showZeros="0" zoomScale="80" zoomScaleNormal="80" workbookViewId="0">
      <selection activeCell="F14" sqref="F14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63" t="s">
        <v>160</v>
      </c>
      <c r="F3" s="63"/>
      <c r="G3" s="63"/>
      <c r="H3" s="63"/>
    </row>
    <row r="7" spans="1:25" ht="21" x14ac:dyDescent="0.35">
      <c r="A7" s="82" t="s">
        <v>161</v>
      </c>
      <c r="B7" s="82"/>
      <c r="C7" s="82"/>
      <c r="D7" s="82"/>
      <c r="I7" s="79" t="s">
        <v>140</v>
      </c>
      <c r="J7" s="79"/>
      <c r="N7" s="80" t="s">
        <v>141</v>
      </c>
      <c r="O7" s="80"/>
    </row>
    <row r="9" spans="1:25" x14ac:dyDescent="0.25">
      <c r="A9" s="66" t="s">
        <v>65</v>
      </c>
      <c r="B9" s="66"/>
      <c r="C9" s="66"/>
      <c r="D9" s="66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>
        <f>IF(T9&lt;UnosPodataka!$M$21,'FinInd+CO2'!T9+1,"")</f>
        <v>16</v>
      </c>
      <c r="V9" s="19">
        <f>IF(U9&lt;UnosPodataka!$M$21,'FinInd+CO2'!U9+1,"")</f>
        <v>17</v>
      </c>
      <c r="W9" s="19">
        <f>IF(V9&lt;UnosPodataka!$M$21,'FinInd+CO2'!V9+1,"")</f>
        <v>18</v>
      </c>
      <c r="X9" s="19">
        <f>IF(W9&lt;UnosPodataka!$M$21,'FinInd+CO2'!W9+1,"")</f>
        <v>19</v>
      </c>
      <c r="Y9" s="19">
        <f>IF(X9&lt;UnosPodataka!$M$21,'FinInd+CO2'!X9+1,"")</f>
        <v>20</v>
      </c>
    </row>
    <row r="11" spans="1:25" x14ac:dyDescent="0.25">
      <c r="A11" s="73" t="s">
        <v>113</v>
      </c>
      <c r="B11" s="73"/>
      <c r="C11" s="73"/>
      <c r="D11" s="73"/>
      <c r="E11" s="4">
        <f>LOAN</f>
        <v>79350</v>
      </c>
    </row>
    <row r="12" spans="1:25" x14ac:dyDescent="0.25">
      <c r="A12" s="73" t="s">
        <v>114</v>
      </c>
      <c r="B12" s="73"/>
      <c r="C12" s="73"/>
      <c r="D12" s="73"/>
      <c r="E12" s="4">
        <f>IF(EQUITY=0,LOAN,EQUITY)</f>
        <v>3000</v>
      </c>
    </row>
    <row r="13" spans="1:25" x14ac:dyDescent="0.25">
      <c r="A13" s="73" t="s">
        <v>162</v>
      </c>
      <c r="B13" s="73"/>
      <c r="C13" s="73"/>
      <c r="D13" s="73"/>
      <c r="E13" s="4">
        <f>+PomTab1!K22</f>
        <v>40000</v>
      </c>
    </row>
    <row r="14" spans="1:25" x14ac:dyDescent="0.25">
      <c r="A14" s="73" t="s">
        <v>115</v>
      </c>
      <c r="B14" s="73"/>
      <c r="C14" s="73"/>
      <c r="D14" s="73"/>
      <c r="F14" s="4">
        <f>IF(F9&lt;&gt;"",Ustede!$J$10,"")</f>
        <v>275.07787999999999</v>
      </c>
      <c r="G14" s="4">
        <f>IF(G9&lt;&gt;"",Ustede!$J$10,"")</f>
        <v>275.07787999999999</v>
      </c>
      <c r="H14" s="4">
        <f>IF(H9&lt;&gt;"",Ustede!$J$10,"")</f>
        <v>275.07787999999999</v>
      </c>
      <c r="I14" s="4">
        <f>IF(I9&lt;&gt;"",Ustede!$J$10,"")</f>
        <v>275.07787999999999</v>
      </c>
      <c r="J14" s="4">
        <f>IF(J9&lt;&gt;"",Ustede!$J$10,"")</f>
        <v>275.07787999999999</v>
      </c>
      <c r="K14" s="4">
        <f>IF(K9&lt;&gt;"",Ustede!$J$10,"")</f>
        <v>275.07787999999999</v>
      </c>
      <c r="L14" s="4">
        <f>IF(L9&lt;&gt;"",Ustede!$J$10,"")</f>
        <v>275.07787999999999</v>
      </c>
      <c r="M14" s="4">
        <f>IF(M9&lt;&gt;"",Ustede!$J$10,"")</f>
        <v>275.07787999999999</v>
      </c>
      <c r="N14" s="4">
        <f>IF(N9&lt;&gt;"",Ustede!$J$10,"")</f>
        <v>275.07787999999999</v>
      </c>
      <c r="O14" s="4">
        <f>IF(O9&lt;&gt;"",Ustede!$J$10,"")</f>
        <v>275.07787999999999</v>
      </c>
      <c r="P14" s="4">
        <f>IF(P9&lt;&gt;"",Ustede!$J$10,"")</f>
        <v>275.07787999999999</v>
      </c>
      <c r="Q14" s="4">
        <f>IF(Q9&lt;&gt;"",Ustede!$J$10,"")</f>
        <v>275.07787999999999</v>
      </c>
      <c r="R14" s="4">
        <f>IF(R9&lt;&gt;"",Ustede!$J$10,"")</f>
        <v>275.07787999999999</v>
      </c>
      <c r="S14" s="4">
        <f>IF(S9&lt;&gt;"",Ustede!$J$10,"")</f>
        <v>275.07787999999999</v>
      </c>
      <c r="T14" s="4">
        <f>IF(T9&lt;&gt;"",Ustede!$J$10,"")</f>
        <v>275.07787999999999</v>
      </c>
      <c r="U14" s="4">
        <f>IF(U9&lt;&gt;"",Ustede!$J$10,"")</f>
        <v>275.07787999999999</v>
      </c>
      <c r="V14" s="4">
        <f>IF(V9&lt;&gt;"",Ustede!$J$10,"")</f>
        <v>275.07787999999999</v>
      </c>
      <c r="W14" s="4">
        <f>IF(W9&lt;&gt;"",Ustede!$J$10,"")</f>
        <v>275.07787999999999</v>
      </c>
      <c r="X14" s="4">
        <f>IF(X9&lt;&gt;"",Ustede!$J$10,"")</f>
        <v>275.07787999999999</v>
      </c>
      <c r="Y14" s="4">
        <f>IF(Y9&lt;&gt;"",Ustede!$J$10,"")</f>
        <v>275.07787999999999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6" t="s">
        <v>163</v>
      </c>
      <c r="B16" s="66"/>
      <c r="C16" s="66"/>
      <c r="D16" s="66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3" t="s">
        <v>116</v>
      </c>
      <c r="B17" s="73"/>
      <c r="C17" s="73"/>
      <c r="D17" s="73"/>
      <c r="F17" s="4">
        <f>IF(F9&lt;&gt;"",Ustede!$J$11,"")</f>
        <v>16417.239274265055</v>
      </c>
      <c r="G17" s="4">
        <f>IF(G9&lt;&gt;"",Ustede!$J$11,"")</f>
        <v>16417.239274265055</v>
      </c>
      <c r="H17" s="4">
        <f>IF(H9&lt;&gt;"",Ustede!$J$11,"")</f>
        <v>16417.239274265055</v>
      </c>
      <c r="I17" s="4">
        <f>IF(I9&lt;&gt;"",Ustede!$J$11,"")</f>
        <v>16417.239274265055</v>
      </c>
      <c r="J17" s="4">
        <f>IF(J9&lt;&gt;"",Ustede!$J$11,"")</f>
        <v>16417.239274265055</v>
      </c>
      <c r="K17" s="4">
        <f>IF(K9&lt;&gt;"",Ustede!$J$11,"")</f>
        <v>16417.239274265055</v>
      </c>
      <c r="L17" s="4">
        <f>IF(L9&lt;&gt;"",Ustede!$J$11,"")</f>
        <v>16417.239274265055</v>
      </c>
      <c r="M17" s="4">
        <f>IF(M9&lt;&gt;"",Ustede!$J$11,"")</f>
        <v>16417.239274265055</v>
      </c>
      <c r="N17" s="4">
        <f>IF(N9&lt;&gt;"",Ustede!$J$11,"")</f>
        <v>16417.239274265055</v>
      </c>
      <c r="O17" s="4">
        <f>IF(O9&lt;&gt;"",Ustede!$J$11,"")</f>
        <v>16417.239274265055</v>
      </c>
      <c r="P17" s="4">
        <f>IF(P9&lt;&gt;"",Ustede!$J$11,"")</f>
        <v>16417.239274265055</v>
      </c>
      <c r="Q17" s="4">
        <f>IF(Q9&lt;&gt;"",Ustede!$J$11,"")</f>
        <v>16417.239274265055</v>
      </c>
      <c r="R17" s="4">
        <f>IF(R9&lt;&gt;"",Ustede!$J$11,"")</f>
        <v>16417.239274265055</v>
      </c>
      <c r="S17" s="4">
        <f>IF(S9&lt;&gt;"",Ustede!$J$11,"")</f>
        <v>16417.239274265055</v>
      </c>
      <c r="T17" s="4">
        <f>IF(T9&lt;&gt;"",Ustede!$J$11,"")</f>
        <v>16417.239274265055</v>
      </c>
      <c r="U17" s="4">
        <f>IF(U9&lt;&gt;"",Ustede!$J$11,"")</f>
        <v>16417.239274265055</v>
      </c>
      <c r="V17" s="4">
        <f>IF(V9&lt;&gt;"",Ustede!$J$11,"")</f>
        <v>16417.239274265055</v>
      </c>
      <c r="W17" s="4">
        <f>IF(W9&lt;&gt;"",Ustede!$J$11,"")</f>
        <v>16417.239274265055</v>
      </c>
      <c r="X17" s="4">
        <f>IF(X9&lt;&gt;"",Ustede!$J$11,"")</f>
        <v>16417.239274265055</v>
      </c>
      <c r="Y17" s="4">
        <f>IF(Y9&lt;&gt;"",Ustede!$J$11,"")</f>
        <v>16417.239274265055</v>
      </c>
    </row>
    <row r="18" spans="1:25" ht="18" x14ac:dyDescent="0.35">
      <c r="A18" s="73" t="s">
        <v>126</v>
      </c>
      <c r="B18" s="73"/>
      <c r="C18" s="73"/>
      <c r="D18" s="73"/>
      <c r="F18" s="4">
        <f>IF(F9&lt;&gt;"",F14*UnosPodataka!$M$20*UnosPodataka!$M$13,"")</f>
        <v>7505.0048156160001</v>
      </c>
      <c r="G18" s="4">
        <f>IF(G9&lt;&gt;"",G14*UnosPodataka!$M$20*UnosPodataka!$M$13,"")</f>
        <v>7505.0048156160001</v>
      </c>
      <c r="H18" s="4">
        <f>IF(H9&lt;&gt;"",H14*UnosPodataka!$M$20*UnosPodataka!$M$13,"")</f>
        <v>7505.0048156160001</v>
      </c>
      <c r="I18" s="4">
        <f>IF(I9&lt;&gt;"",I14*UnosPodataka!$M$20*UnosPodataka!$M$13,"")</f>
        <v>7505.0048156160001</v>
      </c>
      <c r="J18" s="4">
        <f>IF(J9&lt;&gt;"",J14*UnosPodataka!$M$20*UnosPodataka!$M$13,"")</f>
        <v>7505.0048156160001</v>
      </c>
      <c r="K18" s="4">
        <f>IF(K9&lt;&gt;"",K14*UnosPodataka!$M$20*UnosPodataka!$M$13,"")</f>
        <v>7505.0048156160001</v>
      </c>
      <c r="L18" s="4">
        <f>IF(L9&lt;&gt;"",L14*UnosPodataka!$M$20*UnosPodataka!$M$13,"")</f>
        <v>7505.0048156160001</v>
      </c>
      <c r="M18" s="4">
        <f>IF(M9&lt;&gt;"",M14*UnosPodataka!$M$20*UnosPodataka!$M$13,"")</f>
        <v>7505.0048156160001</v>
      </c>
      <c r="N18" s="4">
        <f>IF(N9&lt;&gt;"",N14*UnosPodataka!$M$20*UnosPodataka!$M$13,"")</f>
        <v>7505.0048156160001</v>
      </c>
      <c r="O18" s="4">
        <f>IF(O9&lt;&gt;"",O14*UnosPodataka!$M$20*UnosPodataka!$M$13,"")</f>
        <v>7505.0048156160001</v>
      </c>
      <c r="P18" s="4">
        <f>IF(P9&lt;&gt;"",P14*UnosPodataka!$M$20*UnosPodataka!$M$13,"")</f>
        <v>7505.0048156160001</v>
      </c>
      <c r="Q18" s="4">
        <f>IF(Q9&lt;&gt;"",Q14*UnosPodataka!$M$20*UnosPodataka!$M$13,"")</f>
        <v>7505.0048156160001</v>
      </c>
      <c r="R18" s="4">
        <f>IF(R9&lt;&gt;"",R14*UnosPodataka!$M$20*UnosPodataka!$M$13,"")</f>
        <v>7505.0048156160001</v>
      </c>
      <c r="S18" s="4">
        <f>IF(S9&lt;&gt;"",S14*UnosPodataka!$M$20*UnosPodataka!$M$13,"")</f>
        <v>7505.0048156160001</v>
      </c>
      <c r="T18" s="4">
        <f>IF(T9&lt;&gt;"",T14*UnosPodataka!$M$20*UnosPodataka!$M$13,"")</f>
        <v>7505.0048156160001</v>
      </c>
      <c r="U18" s="4">
        <f>IF(U9&lt;&gt;"",U14*UnosPodataka!$M$20*UnosPodataka!$M$13,"")</f>
        <v>7505.0048156160001</v>
      </c>
      <c r="V18" s="4">
        <f>IF(V9&lt;&gt;"",V14*UnosPodataka!$M$20*UnosPodataka!$M$13,"")</f>
        <v>7505.0048156160001</v>
      </c>
      <c r="W18" s="4">
        <f>IF(W9&lt;&gt;"",W14*UnosPodataka!$M$20*UnosPodataka!$M$13,"")</f>
        <v>7505.0048156160001</v>
      </c>
      <c r="X18" s="4">
        <f>IF(X9&lt;&gt;"",X14*UnosPodataka!$M$20*UnosPodataka!$M$13,"")</f>
        <v>7505.0048156160001</v>
      </c>
      <c r="Y18" s="4">
        <f>IF(Y9&lt;&gt;"",Y14*UnosPodataka!$M$20*UnosPodataka!$M$13,"")</f>
        <v>7505.0048156160001</v>
      </c>
    </row>
    <row r="19" spans="1:25" x14ac:dyDescent="0.25">
      <c r="A19" s="81" t="s">
        <v>127</v>
      </c>
      <c r="B19" s="81"/>
      <c r="C19" s="81"/>
      <c r="D19" s="81"/>
      <c r="E19" s="39"/>
      <c r="F19" s="40">
        <f>IF(F9&lt;&gt;"",F17+F18,"")</f>
        <v>23922.244089881056</v>
      </c>
      <c r="G19" s="40">
        <f t="shared" ref="G19:Y19" si="0">IF(G9&lt;&gt;"",G17+G18,"")</f>
        <v>23922.244089881056</v>
      </c>
      <c r="H19" s="40">
        <f t="shared" si="0"/>
        <v>23922.244089881056</v>
      </c>
      <c r="I19" s="40">
        <f t="shared" si="0"/>
        <v>23922.244089881056</v>
      </c>
      <c r="J19" s="40">
        <f t="shared" si="0"/>
        <v>23922.244089881056</v>
      </c>
      <c r="K19" s="40">
        <f t="shared" si="0"/>
        <v>23922.244089881056</v>
      </c>
      <c r="L19" s="40">
        <f t="shared" si="0"/>
        <v>23922.244089881056</v>
      </c>
      <c r="M19" s="40">
        <f t="shared" si="0"/>
        <v>23922.244089881056</v>
      </c>
      <c r="N19" s="40">
        <f t="shared" si="0"/>
        <v>23922.244089881056</v>
      </c>
      <c r="O19" s="40">
        <f t="shared" si="0"/>
        <v>23922.244089881056</v>
      </c>
      <c r="P19" s="40">
        <f t="shared" si="0"/>
        <v>23922.244089881056</v>
      </c>
      <c r="Q19" s="40">
        <f t="shared" si="0"/>
        <v>23922.244089881056</v>
      </c>
      <c r="R19" s="40">
        <f t="shared" si="0"/>
        <v>23922.244089881056</v>
      </c>
      <c r="S19" s="40">
        <f t="shared" si="0"/>
        <v>23922.244089881056</v>
      </c>
      <c r="T19" s="40">
        <f t="shared" si="0"/>
        <v>23922.244089881056</v>
      </c>
      <c r="U19" s="40">
        <f t="shared" si="0"/>
        <v>23922.244089881056</v>
      </c>
      <c r="V19" s="40">
        <f t="shared" si="0"/>
        <v>23922.244089881056</v>
      </c>
      <c r="W19" s="40">
        <f t="shared" si="0"/>
        <v>23922.244089881056</v>
      </c>
      <c r="X19" s="40">
        <f t="shared" si="0"/>
        <v>23922.244089881056</v>
      </c>
      <c r="Y19" s="40">
        <f t="shared" si="0"/>
        <v>23922.244089881056</v>
      </c>
    </row>
    <row r="20" spans="1:25" x14ac:dyDescent="0.25">
      <c r="A20" s="74"/>
      <c r="B20" s="74"/>
      <c r="C20" s="74"/>
      <c r="D20" s="74"/>
    </row>
    <row r="21" spans="1:25" x14ac:dyDescent="0.25">
      <c r="A21" s="66" t="s">
        <v>164</v>
      </c>
      <c r="B21" s="66"/>
      <c r="C21" s="66"/>
      <c r="D21" s="66"/>
    </row>
    <row r="22" spans="1:25" x14ac:dyDescent="0.25">
      <c r="A22" s="73" t="s">
        <v>118</v>
      </c>
      <c r="B22" s="73"/>
      <c r="C22" s="73"/>
      <c r="D22" s="73"/>
      <c r="F22" s="4">
        <f>IF(F9&gt;UnosPodataka!$M$18,"",-VLOOKUP(F9,Annuity!$B$13:$E$32,3,FALSE))</f>
        <v>-9522</v>
      </c>
      <c r="G22" s="4">
        <f>IF(G9&gt;UnosPodataka!$M$18,"",-VLOOKUP(G9,Annuity!$B$13:$E$32,3,FALSE))</f>
        <v>-9127.4387180899721</v>
      </c>
      <c r="H22" s="4">
        <f>IF(H9&gt;UnosPodataka!$M$18,"",-VLOOKUP(H9,Annuity!$B$13:$E$32,3,FALSE))</f>
        <v>-8685.5300823507387</v>
      </c>
      <c r="I22" s="4">
        <f>IF(I9&gt;UnosPodataka!$M$18,"",-VLOOKUP(I9,Annuity!$B$13:$E$32,3,FALSE))</f>
        <v>-8190.5924103227999</v>
      </c>
      <c r="J22" s="4">
        <f>IF(J9&gt;UnosPodataka!$M$18,"",-VLOOKUP(J9,Annuity!$B$13:$E$32,3,FALSE))</f>
        <v>-7636.2622176515088</v>
      </c>
      <c r="K22" s="4">
        <f>IF(K9&gt;UnosPodataka!$M$18,"",-VLOOKUP(K9,Annuity!$B$13:$E$32,3,FALSE))</f>
        <v>-7015.4124018596622</v>
      </c>
      <c r="L22" s="4">
        <f>IF(L9&gt;UnosPodataka!$M$18,"",-VLOOKUP(L9,Annuity!$B$13:$E$32,3,FALSE))</f>
        <v>-6320.0606081727947</v>
      </c>
      <c r="M22" s="4">
        <f>IF(M9&gt;UnosPodataka!$M$18,"",-VLOOKUP(M9,Annuity!$B$13:$E$32,3,FALSE))</f>
        <v>-5541.2665992435032</v>
      </c>
      <c r="N22" s="4">
        <f>IF(N9&gt;UnosPodataka!$M$18,"",-VLOOKUP(N9,Annuity!$B$13:$E$32,3,FALSE))</f>
        <v>-4669.0173092426967</v>
      </c>
      <c r="O22" s="4">
        <f>IF(O9&gt;UnosPodataka!$M$18,"",-VLOOKUP(O9,Annuity!$B$13:$E$32,3,FALSE))</f>
        <v>-3692.0981044417931</v>
      </c>
      <c r="P22" s="4">
        <f>IF(P9&gt;UnosPodataka!$M$18,"",-VLOOKUP(P9,Annuity!$B$13:$E$32,3,FALSE))</f>
        <v>-2597.9485950647813</v>
      </c>
      <c r="Q22" s="4">
        <f>IF(Q9&gt;UnosPodataka!$M$18,"",-VLOOKUP(Q9,Annuity!$B$13:$E$32,3,FALSE))</f>
        <v>-1372.5011445625273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8" t="s">
        <v>165</v>
      </c>
      <c r="B23" s="38"/>
      <c r="C23" s="38"/>
      <c r="D23" s="38"/>
      <c r="F23" s="4">
        <f>IF(F22="",0,IF(F9&gt;UnosPodataka!$M$18,"",VLOOKUP(F9,Annuity!$B$13:$E$32,4,FALSE)+VLOOKUP(F9,Annuity!$B$13:$E$32,3,FALSE)))</f>
        <v>-3288.0106825835628</v>
      </c>
      <c r="G23" s="4">
        <f>IF(G22="",0,IF(G9&gt;UnosPodataka!$M$18,"",VLOOKUP(G9,Annuity!$B$13:$E$32,4,FALSE)+VLOOKUP(G9,Annuity!$B$13:$E$32,3,FALSE)))</f>
        <v>-3682.5719644935907</v>
      </c>
      <c r="H23" s="4">
        <f>IF(H22="",0,IF(H9&gt;UnosPodataka!$M$18,"",VLOOKUP(H9,Annuity!$B$13:$E$32,4,FALSE)+VLOOKUP(H9,Annuity!$B$13:$E$32,3,FALSE)))</f>
        <v>-4124.4806002328241</v>
      </c>
      <c r="I23" s="4">
        <f>IF(I22="",0,IF(I9&gt;UnosPodataka!$M$18,"",VLOOKUP(I9,Annuity!$B$13:$E$32,4,FALSE)+VLOOKUP(I9,Annuity!$B$13:$E$32,3,FALSE)))</f>
        <v>-4619.4182722607629</v>
      </c>
      <c r="J23" s="4">
        <f>IF(J22="",0,IF(J9&gt;UnosPodataka!$M$18,"",VLOOKUP(J9,Annuity!$B$13:$E$32,4,FALSE)+VLOOKUP(J9,Annuity!$B$13:$E$32,3,FALSE)))</f>
        <v>-5173.748464932054</v>
      </c>
      <c r="K23" s="4">
        <f>IF(K22="",0,IF(K9&gt;UnosPodataka!$M$18,"",VLOOKUP(K9,Annuity!$B$13:$E$32,4,FALSE)+VLOOKUP(K9,Annuity!$B$13:$E$32,3,FALSE)))</f>
        <v>-5794.5982807239006</v>
      </c>
      <c r="L23" s="4">
        <f>IF(L22="",0,IF(L9&gt;UnosPodataka!$M$18,"",VLOOKUP(L9,Annuity!$B$13:$E$32,4,FALSE)+VLOOKUP(L9,Annuity!$B$13:$E$32,3,FALSE)))</f>
        <v>-6489.9500744107681</v>
      </c>
      <c r="M23" s="4">
        <f>IF(M22="",0,IF(M9&gt;UnosPodataka!$M$18,"",VLOOKUP(M9,Annuity!$B$13:$E$32,4,FALSE)+VLOOKUP(M9,Annuity!$B$13:$E$32,3,FALSE)))</f>
        <v>-7268.7440833400597</v>
      </c>
      <c r="N23" s="4">
        <f>IF(N22="",0,IF(N9&gt;UnosPodataka!$M$18,"",VLOOKUP(N9,Annuity!$B$13:$E$32,4,FALSE)+VLOOKUP(N9,Annuity!$B$13:$E$32,3,FALSE)))</f>
        <v>-8140.9933733408661</v>
      </c>
      <c r="O23" s="4">
        <f>IF(O22="",0,IF(O9&gt;UnosPodataka!$M$18,"",VLOOKUP(O9,Annuity!$B$13:$E$32,4,FALSE)+VLOOKUP(O9,Annuity!$B$13:$E$32,3,FALSE)))</f>
        <v>-9117.9125781417697</v>
      </c>
      <c r="P23" s="4">
        <f>IF(P22="",0,IF(P9&gt;UnosPodataka!$M$18,"",VLOOKUP(P9,Annuity!$B$13:$E$32,4,FALSE)+VLOOKUP(P9,Annuity!$B$13:$E$32,3,FALSE)))</f>
        <v>-10212.062087518781</v>
      </c>
      <c r="Q23" s="4">
        <f>IF(Q22="",0,IF(Q9&gt;UnosPodataka!$M$18,"",VLOOKUP(Q9,Annuity!$B$13:$E$32,4,FALSE)+VLOOKUP(Q9,Annuity!$B$13:$E$32,3,FALSE)))</f>
        <v>-11437.509538021035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>
        <f>IF(U22="",0,IF(U9&gt;UnosPodataka!$M$18,"",VLOOKUP(U9,Annuity!$B$13:$E$32,4,FALSE)+VLOOKUP(U9,Annuity!$B$13:$E$32,3,FALSE)))</f>
        <v>0</v>
      </c>
      <c r="V23" s="4">
        <f>IF(V22="",0,IF(V9&gt;UnosPodataka!$M$18,"",VLOOKUP(V9,Annuity!$B$13:$E$32,4,FALSE)+VLOOKUP(V9,Annuity!$B$13:$E$32,3,FALSE)))</f>
        <v>0</v>
      </c>
      <c r="W23" s="4">
        <f>IF(W22="",0,IF(W9&gt;UnosPodataka!$M$18,"",VLOOKUP(W9,Annuity!$B$13:$E$32,4,FALSE)+VLOOKUP(W9,Annuity!$B$13:$E$32,3,FALSE)))</f>
        <v>0</v>
      </c>
      <c r="X23" s="4">
        <f>IF(X22="",0,IF(X9&gt;UnosPodataka!$M$18,"",VLOOKUP(X9,Annuity!$B$13:$E$32,4,FALSE)+VLOOKUP(X9,Annuity!$B$13:$E$32,3,FALSE)))</f>
        <v>0</v>
      </c>
      <c r="Y23" s="4">
        <f>IF(Y22="",0,IF(Y9&gt;UnosPodataka!$M$18,"",VLOOKUP(Y9,Annuity!$B$13:$E$32,4,FALSE)+VLOOKUP(Y9,Annuity!$B$13:$E$32,3,FALSE)))</f>
        <v>0</v>
      </c>
    </row>
    <row r="24" spans="1:25" x14ac:dyDescent="0.25">
      <c r="A24" s="73" t="s">
        <v>119</v>
      </c>
      <c r="B24" s="73"/>
      <c r="C24" s="73"/>
      <c r="D24" s="73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>
        <f>IF(U9&lt;&gt;"",-UnosPodataka!$M$9,"")</f>
        <v>-100</v>
      </c>
      <c r="V24" s="4">
        <f>IF(V9&lt;&gt;"",-UnosPodataka!$M$9,"")</f>
        <v>-100</v>
      </c>
      <c r="W24" s="4">
        <f>IF(W9&lt;&gt;"",-UnosPodataka!$M$9,"")</f>
        <v>-100</v>
      </c>
      <c r="X24" s="4">
        <f>IF(X9&lt;&gt;"",-UnosPodataka!$M$9,"")</f>
        <v>-100</v>
      </c>
      <c r="Y24" s="4">
        <f>IF(Y9&lt;&gt;"",-UnosPodataka!$M$9,"")</f>
        <v>-100</v>
      </c>
    </row>
    <row r="25" spans="1:25" x14ac:dyDescent="0.25">
      <c r="A25" s="73" t="s">
        <v>120</v>
      </c>
      <c r="B25" s="73"/>
      <c r="C25" s="73"/>
      <c r="D25" s="73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>
        <f>IF(U9&lt;&gt;"",-$E$11*UnosPodataka!$M$11,"")</f>
        <v>0</v>
      </c>
      <c r="V25" s="4">
        <f>IF(V9&lt;&gt;"",-$E$11*UnosPodataka!$M$11,"")</f>
        <v>0</v>
      </c>
      <c r="W25" s="4">
        <f>IF(W9&lt;&gt;"",-$E$11*UnosPodataka!$M$11,"")</f>
        <v>0</v>
      </c>
      <c r="X25" s="4">
        <f>IF(X9&lt;&gt;"",-$E$11*UnosPodataka!$M$11,"")</f>
        <v>0</v>
      </c>
      <c r="Y25" s="4">
        <f>IF(Y9&lt;&gt;"",-$E$11*UnosPodataka!$M$11,"")</f>
        <v>0</v>
      </c>
    </row>
    <row r="26" spans="1:25" x14ac:dyDescent="0.25">
      <c r="A26" s="73" t="s">
        <v>12</v>
      </c>
      <c r="B26" s="73"/>
      <c r="C26" s="73"/>
      <c r="D26" s="73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73" t="s">
        <v>166</v>
      </c>
      <c r="B27" s="73"/>
      <c r="C27" s="73"/>
      <c r="D27" s="73"/>
      <c r="F27" s="4">
        <f>IF(F9&lt;&gt;"",-Investment*UnosPodataka!$M$12,"")</f>
        <v>-3058.75</v>
      </c>
      <c r="G27" s="4">
        <f>IF(G9&lt;&gt;"",-Investment*UnosPodataka!$M$12,"")</f>
        <v>-3058.75</v>
      </c>
      <c r="H27" s="4">
        <f>IF(H9&lt;&gt;"",-Investment*UnosPodataka!$M$12,"")</f>
        <v>-3058.75</v>
      </c>
      <c r="I27" s="4">
        <f>IF(I9&lt;&gt;"",-Investment*UnosPodataka!$M$12,"")</f>
        <v>-3058.75</v>
      </c>
      <c r="J27" s="4">
        <f>IF(J9&lt;&gt;"",-Investment*UnosPodataka!$M$12,"")</f>
        <v>-3058.75</v>
      </c>
      <c r="K27" s="4">
        <f>IF(K9&lt;&gt;"",-Investment*UnosPodataka!$M$12,"")</f>
        <v>-3058.75</v>
      </c>
      <c r="L27" s="4">
        <f>IF(L9&lt;&gt;"",-Investment*UnosPodataka!$M$12,"")</f>
        <v>-3058.75</v>
      </c>
      <c r="M27" s="4">
        <f>IF(M9&lt;&gt;"",-Investment*UnosPodataka!$M$12,"")</f>
        <v>-3058.75</v>
      </c>
      <c r="N27" s="4">
        <f>IF(N9&lt;&gt;"",-Investment*UnosPodataka!$M$12,"")</f>
        <v>-3058.75</v>
      </c>
      <c r="O27" s="4">
        <f>IF(O9&lt;&gt;"",-Investment*UnosPodataka!$M$12,"")</f>
        <v>-3058.75</v>
      </c>
      <c r="P27" s="4">
        <f>IF(P9&lt;&gt;"",-Investment*UnosPodataka!$M$12,"")</f>
        <v>-3058.75</v>
      </c>
      <c r="Q27" s="4">
        <f>IF(Q9&lt;&gt;"",-Investment*UnosPodataka!$M$12,"")</f>
        <v>-3058.75</v>
      </c>
      <c r="R27" s="4">
        <f>IF(R9&lt;&gt;"",-Investment*UnosPodataka!$M$12,"")</f>
        <v>-3058.75</v>
      </c>
      <c r="S27" s="4">
        <f>IF(S9&lt;&gt;"",-Investment*UnosPodataka!$M$12,"")</f>
        <v>-3058.75</v>
      </c>
      <c r="T27" s="4">
        <f>IF(T9&lt;&gt;"",-Investment*UnosPodataka!$M$12,"")</f>
        <v>-3058.75</v>
      </c>
      <c r="U27" s="4">
        <f>IF(U9&lt;&gt;"",-Investment*UnosPodataka!$M$12,"")</f>
        <v>-3058.75</v>
      </c>
      <c r="V27" s="4">
        <f>IF(V9&lt;&gt;"",-Investment*UnosPodataka!$M$12,"")</f>
        <v>-3058.75</v>
      </c>
      <c r="W27" s="4">
        <f>IF(W9&lt;&gt;"",-Investment*UnosPodataka!$M$12,"")</f>
        <v>-3058.75</v>
      </c>
      <c r="X27" s="4">
        <f>IF(X9&lt;&gt;"",-Investment*UnosPodataka!$M$12,"")</f>
        <v>-3058.75</v>
      </c>
      <c r="Y27" s="4">
        <f>IF(Y9&lt;&gt;"",-Investment*UnosPodataka!$M$12,"")</f>
        <v>-3058.75</v>
      </c>
    </row>
    <row r="28" spans="1:25" x14ac:dyDescent="0.25">
      <c r="A28" s="73" t="s">
        <v>128</v>
      </c>
      <c r="B28" s="73"/>
      <c r="C28" s="73"/>
      <c r="D28" s="73"/>
      <c r="F28" s="4">
        <f>IF(F9&lt;&gt;"",-(1-UnosPodataka!$M$10)*'FinInd+CO2'!F17,"")</f>
        <v>-1641.7239274265053</v>
      </c>
      <c r="G28" s="4">
        <f>IF(G9&lt;&gt;"",-(1-UnosPodataka!$M$10)*'FinInd+CO2'!G17,"")</f>
        <v>-1641.7239274265053</v>
      </c>
      <c r="H28" s="4">
        <f>IF(H9&lt;&gt;"",-(1-UnosPodataka!$M$10)*'FinInd+CO2'!H17,"")</f>
        <v>-1641.7239274265053</v>
      </c>
      <c r="I28" s="4">
        <f>IF(I9&lt;&gt;"",-(1-UnosPodataka!$M$10)*'FinInd+CO2'!I17,"")</f>
        <v>-1641.7239274265053</v>
      </c>
      <c r="J28" s="4">
        <f>IF(J9&lt;&gt;"",-(1-UnosPodataka!$M$10)*'FinInd+CO2'!J17,"")</f>
        <v>-1641.7239274265053</v>
      </c>
      <c r="K28" s="4">
        <f>IF(K9&lt;&gt;"",-(1-UnosPodataka!$M$10)*'FinInd+CO2'!K17,"")</f>
        <v>-1641.7239274265053</v>
      </c>
      <c r="L28" s="4">
        <f>IF(L9&lt;&gt;"",-(1-UnosPodataka!$M$10)*'FinInd+CO2'!L17,"")</f>
        <v>-1641.7239274265053</v>
      </c>
      <c r="M28" s="4">
        <f>IF(M9&lt;&gt;"",-(1-UnosPodataka!$M$10)*'FinInd+CO2'!M17,"")</f>
        <v>-1641.7239274265053</v>
      </c>
      <c r="N28" s="4">
        <f>IF(N9&lt;&gt;"",-(1-UnosPodataka!$M$10)*'FinInd+CO2'!N17,"")</f>
        <v>-1641.7239274265053</v>
      </c>
      <c r="O28" s="4">
        <f>IF(O9&lt;&gt;"",-(1-UnosPodataka!$M$10)*'FinInd+CO2'!O17,"")</f>
        <v>-1641.7239274265053</v>
      </c>
      <c r="P28" s="4">
        <f>IF(P9&lt;&gt;"",-(1-UnosPodataka!$M$10)*'FinInd+CO2'!P17,"")</f>
        <v>-1641.7239274265053</v>
      </c>
      <c r="Q28" s="4">
        <f>IF(Q9&lt;&gt;"",-(1-UnosPodataka!$M$10)*'FinInd+CO2'!Q17,"")</f>
        <v>-1641.7239274265053</v>
      </c>
      <c r="R28" s="4">
        <f>IF(R9&lt;&gt;"",-(1-UnosPodataka!$M$10)*'FinInd+CO2'!R17,"")</f>
        <v>-1641.7239274265053</v>
      </c>
      <c r="S28" s="4">
        <f>IF(S9&lt;&gt;"",-(1-UnosPodataka!$M$10)*'FinInd+CO2'!S17,"")</f>
        <v>-1641.7239274265053</v>
      </c>
      <c r="T28" s="4">
        <f>IF(T9&lt;&gt;"",-(1-UnosPodataka!$M$10)*'FinInd+CO2'!T17,"")</f>
        <v>-1641.7239274265053</v>
      </c>
      <c r="U28" s="4">
        <f>IF(U9&lt;&gt;"",-(1-UnosPodataka!$M$10)*'FinInd+CO2'!U17,"")</f>
        <v>-1641.7239274265053</v>
      </c>
      <c r="V28" s="4">
        <f>IF(V9&lt;&gt;"",-(1-UnosPodataka!$M$10)*'FinInd+CO2'!V17,"")</f>
        <v>-1641.7239274265053</v>
      </c>
      <c r="W28" s="4">
        <f>IF(W9&lt;&gt;"",-(1-UnosPodataka!$M$10)*'FinInd+CO2'!W17,"")</f>
        <v>-1641.7239274265053</v>
      </c>
      <c r="X28" s="4">
        <f>IF(X9&lt;&gt;"",-(1-UnosPodataka!$M$10)*'FinInd+CO2'!X17,"")</f>
        <v>-1641.7239274265053</v>
      </c>
      <c r="Y28" s="4">
        <f>IF(Y9&lt;&gt;"",-(1-UnosPodataka!$M$10)*'FinInd+CO2'!Y17,"")</f>
        <v>-1641.7239274265053</v>
      </c>
    </row>
    <row r="29" spans="1:25" x14ac:dyDescent="0.25">
      <c r="A29" s="81" t="s">
        <v>129</v>
      </c>
      <c r="B29" s="81"/>
      <c r="C29" s="81"/>
      <c r="D29" s="81"/>
      <c r="E29" s="39"/>
      <c r="F29" s="40">
        <f>IF(F9&lt;&gt;"",SUM(F22:F28),"")</f>
        <v>-17610.484610010069</v>
      </c>
      <c r="G29" s="40">
        <f t="shared" ref="G29:Y29" si="2">IF(G9&lt;&gt;"",SUM(G22:G28),"")</f>
        <v>-17610.484610010069</v>
      </c>
      <c r="H29" s="40">
        <f t="shared" si="2"/>
        <v>-17610.484610010069</v>
      </c>
      <c r="I29" s="40">
        <f t="shared" si="2"/>
        <v>-17610.484610010069</v>
      </c>
      <c r="J29" s="40">
        <f t="shared" si="2"/>
        <v>-17610.484610010069</v>
      </c>
      <c r="K29" s="40">
        <f t="shared" si="2"/>
        <v>-17610.484610010069</v>
      </c>
      <c r="L29" s="40">
        <f t="shared" si="2"/>
        <v>-17610.484610010069</v>
      </c>
      <c r="M29" s="40">
        <f t="shared" si="2"/>
        <v>-17610.484610010069</v>
      </c>
      <c r="N29" s="40">
        <f t="shared" si="2"/>
        <v>-17610.484610010069</v>
      </c>
      <c r="O29" s="40">
        <f t="shared" si="2"/>
        <v>-17610.484610010069</v>
      </c>
      <c r="P29" s="40">
        <f t="shared" si="2"/>
        <v>-17610.484610010069</v>
      </c>
      <c r="Q29" s="40">
        <f t="shared" si="2"/>
        <v>-17610.484610010069</v>
      </c>
      <c r="R29" s="40">
        <f t="shared" si="2"/>
        <v>-4800.4739274265048</v>
      </c>
      <c r="S29" s="40">
        <f t="shared" si="2"/>
        <v>-4800.4739274265048</v>
      </c>
      <c r="T29" s="40">
        <f t="shared" si="2"/>
        <v>-4800.4739274265048</v>
      </c>
      <c r="U29" s="40">
        <f t="shared" si="2"/>
        <v>-4800.4739274265048</v>
      </c>
      <c r="V29" s="40">
        <f t="shared" si="2"/>
        <v>-4800.4739274265048</v>
      </c>
      <c r="W29" s="40">
        <f t="shared" si="2"/>
        <v>-4800.4739274265048</v>
      </c>
      <c r="X29" s="40">
        <f t="shared" si="2"/>
        <v>-4800.4739274265048</v>
      </c>
      <c r="Y29" s="40">
        <f t="shared" si="2"/>
        <v>-4800.4739274265048</v>
      </c>
    </row>
    <row r="31" spans="1:25" x14ac:dyDescent="0.25">
      <c r="A31" t="s">
        <v>167</v>
      </c>
      <c r="E31" s="4">
        <f>-SUM(E11:E13)</f>
        <v>-122350</v>
      </c>
      <c r="F31" s="4">
        <f>+F29-F27-F34</f>
        <v>-15991.700134378252</v>
      </c>
      <c r="G31" s="4">
        <f t="shared" ref="G31:Y31" si="3">+G29-G27-G34</f>
        <v>-16050.884326664756</v>
      </c>
      <c r="H31" s="4">
        <f t="shared" si="3"/>
        <v>-16117.170622025642</v>
      </c>
      <c r="I31" s="4">
        <f t="shared" si="3"/>
        <v>-16191.411272829831</v>
      </c>
      <c r="J31" s="4">
        <f t="shared" si="3"/>
        <v>-16274.560801730526</v>
      </c>
      <c r="K31" s="4">
        <f t="shared" si="3"/>
        <v>-16367.688274099302</v>
      </c>
      <c r="L31" s="4">
        <f t="shared" si="3"/>
        <v>-16471.991043152331</v>
      </c>
      <c r="M31" s="4">
        <f t="shared" si="3"/>
        <v>-16588.810144491727</v>
      </c>
      <c r="N31" s="4">
        <f t="shared" si="3"/>
        <v>-16719.647537991848</v>
      </c>
      <c r="O31" s="4">
        <f t="shared" si="3"/>
        <v>-16866.185418711982</v>
      </c>
      <c r="P31" s="4">
        <f t="shared" si="3"/>
        <v>-17030.307845118536</v>
      </c>
      <c r="Q31" s="4">
        <f t="shared" si="3"/>
        <v>-17214.124962693873</v>
      </c>
      <c r="R31" s="4">
        <f t="shared" si="3"/>
        <v>-4609.9894517946868</v>
      </c>
      <c r="S31" s="4">
        <f t="shared" si="3"/>
        <v>-4609.9894517946868</v>
      </c>
      <c r="T31" s="4">
        <f t="shared" si="3"/>
        <v>-4609.9894517946868</v>
      </c>
      <c r="U31" s="4">
        <f t="shared" si="3"/>
        <v>-4609.9894517946868</v>
      </c>
      <c r="V31" s="4">
        <f t="shared" si="3"/>
        <v>-4609.9894517946868</v>
      </c>
      <c r="W31" s="4">
        <f t="shared" si="3"/>
        <v>-4609.9894517946868</v>
      </c>
      <c r="X31" s="4">
        <f t="shared" si="3"/>
        <v>-4609.9894517946868</v>
      </c>
      <c r="Y31" s="4">
        <f t="shared" si="3"/>
        <v>-4609.9894517946868</v>
      </c>
    </row>
    <row r="32" spans="1:25" x14ac:dyDescent="0.25">
      <c r="A32" s="66" t="s">
        <v>168</v>
      </c>
      <c r="B32" s="66"/>
      <c r="C32" s="66"/>
      <c r="D32" s="66"/>
      <c r="F32" s="4">
        <f>IF(F9&lt;&gt;"",F19+F29-F23,"")</f>
        <v>9599.7701624545498</v>
      </c>
      <c r="G32" s="4">
        <f t="shared" ref="G32:Y32" si="4">IF(G9&lt;&gt;"",G19+G29-G23,"")</f>
        <v>9994.3314443645777</v>
      </c>
      <c r="H32" s="4">
        <f t="shared" si="4"/>
        <v>10436.240080103811</v>
      </c>
      <c r="I32" s="4">
        <f t="shared" si="4"/>
        <v>10931.177752131749</v>
      </c>
      <c r="J32" s="4">
        <f t="shared" si="4"/>
        <v>11485.507944803041</v>
      </c>
      <c r="K32" s="4">
        <f t="shared" si="4"/>
        <v>12106.357760594889</v>
      </c>
      <c r="L32" s="4">
        <f t="shared" si="4"/>
        <v>12801.709554281755</v>
      </c>
      <c r="M32" s="4">
        <f t="shared" si="4"/>
        <v>13580.503563211047</v>
      </c>
      <c r="N32" s="4">
        <f t="shared" si="4"/>
        <v>14452.752853211852</v>
      </c>
      <c r="O32" s="4">
        <f t="shared" si="4"/>
        <v>15429.672058012757</v>
      </c>
      <c r="P32" s="4">
        <f t="shared" si="4"/>
        <v>16523.821567389768</v>
      </c>
      <c r="Q32" s="4">
        <f t="shared" si="4"/>
        <v>17749.269017892024</v>
      </c>
      <c r="R32" s="4">
        <f t="shared" si="4"/>
        <v>19121.770162454552</v>
      </c>
      <c r="S32" s="4">
        <f t="shared" si="4"/>
        <v>19121.770162454552</v>
      </c>
      <c r="T32" s="4">
        <f t="shared" si="4"/>
        <v>19121.770162454552</v>
      </c>
      <c r="U32" s="4">
        <f t="shared" si="4"/>
        <v>19121.770162454552</v>
      </c>
      <c r="V32" s="4">
        <f t="shared" si="4"/>
        <v>19121.770162454552</v>
      </c>
      <c r="W32" s="4">
        <f t="shared" si="4"/>
        <v>19121.770162454552</v>
      </c>
      <c r="X32" s="4">
        <f t="shared" si="4"/>
        <v>19121.770162454552</v>
      </c>
      <c r="Y32" s="4">
        <f t="shared" si="4"/>
        <v>19121.770162454552</v>
      </c>
    </row>
    <row r="33" spans="1:25" x14ac:dyDescent="0.25">
      <c r="A33" s="78"/>
      <c r="B33" s="78"/>
      <c r="C33" s="78"/>
      <c r="D33" s="78"/>
    </row>
    <row r="34" spans="1:25" x14ac:dyDescent="0.25">
      <c r="A34" s="73" t="s">
        <v>122</v>
      </c>
      <c r="B34" s="73"/>
      <c r="C34" s="73"/>
      <c r="D34" s="73"/>
      <c r="F34" s="4">
        <f>IF(F9&lt;&gt;"",IF(F32&gt;0,F32*VAT,0),"")</f>
        <v>1439.9655243681825</v>
      </c>
      <c r="G34" s="4">
        <f t="shared" ref="G34:Y34" si="5">IF(G9&lt;&gt;"",IF(G32&gt;0,G32*VAT,0),"")</f>
        <v>1499.1497166546867</v>
      </c>
      <c r="H34" s="4">
        <f t="shared" si="5"/>
        <v>1565.4360120155716</v>
      </c>
      <c r="I34" s="4">
        <f t="shared" si="5"/>
        <v>1639.6766628197622</v>
      </c>
      <c r="J34" s="4">
        <f t="shared" si="5"/>
        <v>1722.8261917204561</v>
      </c>
      <c r="K34" s="4">
        <f t="shared" si="5"/>
        <v>1815.9536640892331</v>
      </c>
      <c r="L34" s="4">
        <f t="shared" si="5"/>
        <v>1920.2564331422632</v>
      </c>
      <c r="M34" s="4">
        <f t="shared" si="5"/>
        <v>2037.0755344816569</v>
      </c>
      <c r="N34" s="4">
        <f t="shared" si="5"/>
        <v>2167.9129279817776</v>
      </c>
      <c r="O34" s="4">
        <f t="shared" si="5"/>
        <v>2314.4508087019135</v>
      </c>
      <c r="P34" s="4">
        <f t="shared" si="5"/>
        <v>2478.5732351084653</v>
      </c>
      <c r="Q34" s="4">
        <f t="shared" si="5"/>
        <v>2662.3903526838035</v>
      </c>
      <c r="R34" s="4">
        <f t="shared" si="5"/>
        <v>2868.2655243681825</v>
      </c>
      <c r="S34" s="4">
        <f t="shared" si="5"/>
        <v>2868.2655243681825</v>
      </c>
      <c r="T34" s="4">
        <f t="shared" si="5"/>
        <v>2868.2655243681825</v>
      </c>
      <c r="U34" s="4">
        <f t="shared" si="5"/>
        <v>2868.2655243681825</v>
      </c>
      <c r="V34" s="4">
        <f t="shared" si="5"/>
        <v>2868.2655243681825</v>
      </c>
      <c r="W34" s="4">
        <f t="shared" si="5"/>
        <v>2868.2655243681825</v>
      </c>
      <c r="X34" s="4">
        <f t="shared" si="5"/>
        <v>2868.2655243681825</v>
      </c>
      <c r="Y34" s="4">
        <f t="shared" si="5"/>
        <v>2868.2655243681825</v>
      </c>
    </row>
    <row r="35" spans="1:25" x14ac:dyDescent="0.25">
      <c r="A35" s="66" t="s">
        <v>123</v>
      </c>
      <c r="B35" s="66"/>
      <c r="C35" s="66"/>
      <c r="D35" s="66"/>
      <c r="E35" s="40"/>
      <c r="F35" s="40">
        <f>IF(F9&lt;&gt;"",F32-F34,"")</f>
        <v>8159.804638086367</v>
      </c>
      <c r="G35" s="40">
        <f t="shared" ref="G35:Y35" si="6">IF(G9&lt;&gt;"",G32-G34,"")</f>
        <v>8495.1817277098908</v>
      </c>
      <c r="H35" s="40">
        <f t="shared" si="6"/>
        <v>8870.8040680882405</v>
      </c>
      <c r="I35" s="40">
        <f t="shared" si="6"/>
        <v>9291.501089311987</v>
      </c>
      <c r="J35" s="40">
        <f t="shared" si="6"/>
        <v>9762.6817530825847</v>
      </c>
      <c r="K35" s="40">
        <f t="shared" si="6"/>
        <v>10290.404096505656</v>
      </c>
      <c r="L35" s="40">
        <f t="shared" si="6"/>
        <v>10881.453121139491</v>
      </c>
      <c r="M35" s="40">
        <f t="shared" si="6"/>
        <v>11543.42802872939</v>
      </c>
      <c r="N35" s="40">
        <f t="shared" si="6"/>
        <v>12284.839925230075</v>
      </c>
      <c r="O35" s="40">
        <f t="shared" si="6"/>
        <v>13115.221249310844</v>
      </c>
      <c r="P35" s="40">
        <f t="shared" si="6"/>
        <v>14045.248332281302</v>
      </c>
      <c r="Q35" s="40">
        <f t="shared" si="6"/>
        <v>15086.87866520822</v>
      </c>
      <c r="R35" s="40">
        <f t="shared" si="6"/>
        <v>16253.50463808637</v>
      </c>
      <c r="S35" s="40">
        <f t="shared" si="6"/>
        <v>16253.50463808637</v>
      </c>
      <c r="T35" s="40">
        <f t="shared" si="6"/>
        <v>16253.50463808637</v>
      </c>
      <c r="U35" s="40">
        <f t="shared" si="6"/>
        <v>16253.50463808637</v>
      </c>
      <c r="V35" s="40">
        <f t="shared" si="6"/>
        <v>16253.50463808637</v>
      </c>
      <c r="W35" s="40">
        <f t="shared" si="6"/>
        <v>16253.50463808637</v>
      </c>
      <c r="X35" s="40">
        <f t="shared" si="6"/>
        <v>16253.50463808637</v>
      </c>
      <c r="Y35" s="40">
        <f t="shared" si="6"/>
        <v>16253.50463808637</v>
      </c>
    </row>
    <row r="37" spans="1:25" x14ac:dyDescent="0.25">
      <c r="A37" s="42" t="s">
        <v>177</v>
      </c>
      <c r="E37" s="4">
        <f>-SUM(E11:E13)</f>
        <v>-122350</v>
      </c>
      <c r="F37" s="4">
        <f>+F19+F31-F34</f>
        <v>6490.5784311346215</v>
      </c>
      <c r="G37" s="4">
        <f t="shared" ref="G37:Y37" si="7">+G19+G31-G34</f>
        <v>6372.2100465616131</v>
      </c>
      <c r="H37" s="4">
        <f t="shared" si="7"/>
        <v>6239.6374558398429</v>
      </c>
      <c r="I37" s="4">
        <f t="shared" si="7"/>
        <v>6091.156154231463</v>
      </c>
      <c r="J37" s="4">
        <f t="shared" si="7"/>
        <v>5924.8570964300743</v>
      </c>
      <c r="K37" s="4">
        <f t="shared" si="7"/>
        <v>5738.6021516925211</v>
      </c>
      <c r="L37" s="4">
        <f t="shared" si="7"/>
        <v>5529.9966135864615</v>
      </c>
      <c r="M37" s="4">
        <f t="shared" si="7"/>
        <v>5296.3584109076728</v>
      </c>
      <c r="N37" s="4">
        <f t="shared" si="7"/>
        <v>5034.683623907431</v>
      </c>
      <c r="O37" s="4">
        <f t="shared" si="7"/>
        <v>4741.6078624671609</v>
      </c>
      <c r="P37" s="4">
        <f t="shared" si="7"/>
        <v>4413.3630096540555</v>
      </c>
      <c r="Q37" s="4">
        <f t="shared" si="7"/>
        <v>4045.7287745033796</v>
      </c>
      <c r="R37" s="4">
        <f t="shared" si="7"/>
        <v>16443.989113718188</v>
      </c>
      <c r="S37" s="4">
        <f t="shared" si="7"/>
        <v>16443.989113718188</v>
      </c>
      <c r="T37" s="4">
        <f t="shared" si="7"/>
        <v>16443.989113718188</v>
      </c>
      <c r="U37" s="4">
        <f t="shared" si="7"/>
        <v>16443.989113718188</v>
      </c>
      <c r="V37" s="4">
        <f t="shared" si="7"/>
        <v>16443.989113718188</v>
      </c>
      <c r="W37" s="4">
        <f t="shared" si="7"/>
        <v>16443.989113718188</v>
      </c>
      <c r="X37" s="4">
        <f t="shared" si="7"/>
        <v>16443.989113718188</v>
      </c>
      <c r="Y37" s="4">
        <f t="shared" si="7"/>
        <v>16443.989113718188</v>
      </c>
    </row>
    <row r="38" spans="1:25" x14ac:dyDescent="0.25">
      <c r="A38" s="42" t="s">
        <v>178</v>
      </c>
      <c r="E38" s="4">
        <f>+E37</f>
        <v>-122350</v>
      </c>
      <c r="F38" s="4">
        <f>+E38+F37</f>
        <v>-115859.42156886538</v>
      </c>
      <c r="G38" s="4">
        <f t="shared" ref="G38:Y38" si="8">+F38+G37</f>
        <v>-109487.21152230377</v>
      </c>
      <c r="H38" s="4">
        <f t="shared" si="8"/>
        <v>-103247.57406646393</v>
      </c>
      <c r="I38" s="4">
        <f t="shared" si="8"/>
        <v>-97156.417912232471</v>
      </c>
      <c r="J38" s="4">
        <f t="shared" si="8"/>
        <v>-91231.560815802397</v>
      </c>
      <c r="K38" s="4">
        <f t="shared" si="8"/>
        <v>-85492.958664109872</v>
      </c>
      <c r="L38" s="4">
        <f t="shared" si="8"/>
        <v>-79962.962050523405</v>
      </c>
      <c r="M38" s="4">
        <f t="shared" si="8"/>
        <v>-74666.603639615729</v>
      </c>
      <c r="N38" s="4">
        <f t="shared" si="8"/>
        <v>-69631.920015708296</v>
      </c>
      <c r="O38" s="4">
        <f t="shared" si="8"/>
        <v>-64890.312153241131</v>
      </c>
      <c r="P38" s="4">
        <f t="shared" si="8"/>
        <v>-60476.949143587073</v>
      </c>
      <c r="Q38" s="4">
        <f t="shared" si="8"/>
        <v>-56431.22036908369</v>
      </c>
      <c r="R38" s="4">
        <f t="shared" si="8"/>
        <v>-39987.231255365507</v>
      </c>
      <c r="S38" s="4">
        <f t="shared" si="8"/>
        <v>-23543.242141647319</v>
      </c>
      <c r="T38" s="4">
        <f t="shared" si="8"/>
        <v>-7099.2530279291313</v>
      </c>
      <c r="U38" s="4">
        <f t="shared" si="8"/>
        <v>9344.7360857890562</v>
      </c>
      <c r="V38" s="4">
        <f t="shared" si="8"/>
        <v>25788.725199507244</v>
      </c>
      <c r="W38" s="4">
        <f t="shared" si="8"/>
        <v>42232.714313225428</v>
      </c>
      <c r="X38" s="4">
        <f t="shared" si="8"/>
        <v>58676.703426943612</v>
      </c>
      <c r="Y38" s="4">
        <f t="shared" si="8"/>
        <v>75120.692540661796</v>
      </c>
    </row>
    <row r="39" spans="1:25" x14ac:dyDescent="0.25">
      <c r="A39" s="21"/>
    </row>
    <row r="40" spans="1:25" x14ac:dyDescent="0.25">
      <c r="A40" s="42" t="s">
        <v>66</v>
      </c>
      <c r="E40" s="10">
        <f>+PomTab1!L25</f>
        <v>7.9255414793624843E-2</v>
      </c>
    </row>
    <row r="41" spans="1:25" x14ac:dyDescent="0.25">
      <c r="A41" s="42" t="s">
        <v>179</v>
      </c>
      <c r="E41" s="4">
        <f>IF(E9&lt;&gt;"",E37*(1+$E$40)^-E10,"")</f>
        <v>-122350</v>
      </c>
      <c r="F41" s="4">
        <f>IF(F9&lt;&gt;"",F37*(1+$E$40)^-F9,"")</f>
        <v>6013.9410395043042</v>
      </c>
      <c r="G41" s="4">
        <f t="shared" ref="G41:Y41" si="9">IF(G9&lt;&gt;"",G37*(1+$E$40)^-G9,"")</f>
        <v>5470.6837589147171</v>
      </c>
      <c r="H41" s="4">
        <f t="shared" si="9"/>
        <v>4963.4842446435805</v>
      </c>
      <c r="I41" s="4">
        <f t="shared" si="9"/>
        <v>4489.5497481331713</v>
      </c>
      <c r="J41" s="4">
        <f t="shared" si="9"/>
        <v>4046.2871391290187</v>
      </c>
      <c r="K41" s="4">
        <f t="shared" si="9"/>
        <v>3631.2880402269361</v>
      </c>
      <c r="L41" s="4">
        <f t="shared" si="9"/>
        <v>3242.3150452754044</v>
      </c>
      <c r="M41" s="4">
        <f t="shared" si="9"/>
        <v>2877.2889417459373</v>
      </c>
      <c r="N41" s="4">
        <f t="shared" si="9"/>
        <v>2534.2768630394135</v>
      </c>
      <c r="O41" s="4">
        <f t="shared" si="9"/>
        <v>2211.4813021214441</v>
      </c>
      <c r="P41" s="4">
        <f t="shared" si="9"/>
        <v>1907.2299229060302</v>
      </c>
      <c r="Q41" s="4">
        <f t="shared" si="9"/>
        <v>1619.9661104634297</v>
      </c>
      <c r="R41" s="4">
        <f t="shared" si="9"/>
        <v>6100.8747523163529</v>
      </c>
      <c r="S41" s="4">
        <f t="shared" si="9"/>
        <v>5652.8553562855741</v>
      </c>
      <c r="T41" s="4">
        <f t="shared" si="9"/>
        <v>5237.7363864016497</v>
      </c>
      <c r="U41" s="4">
        <f t="shared" si="9"/>
        <v>4853.1017909261172</v>
      </c>
      <c r="V41" s="4">
        <f t="shared" si="9"/>
        <v>4496.7129415367608</v>
      </c>
      <c r="W41" s="4">
        <f t="shared" si="9"/>
        <v>4166.4956041908035</v>
      </c>
      <c r="X41" s="4">
        <f t="shared" si="9"/>
        <v>3860.5278667863067</v>
      </c>
      <c r="Y41" s="4">
        <f t="shared" si="9"/>
        <v>3577.0289533590312</v>
      </c>
    </row>
    <row r="42" spans="1:25" x14ac:dyDescent="0.25">
      <c r="A42" s="42" t="s">
        <v>180</v>
      </c>
      <c r="E42" s="4">
        <f>+E41</f>
        <v>-122350</v>
      </c>
      <c r="F42" s="4">
        <f>+E42+F41</f>
        <v>-116336.05896049569</v>
      </c>
      <c r="G42" s="4">
        <f t="shared" ref="G42:Y42" si="10">+F42+G41</f>
        <v>-110865.37520158097</v>
      </c>
      <c r="H42" s="4">
        <f t="shared" si="10"/>
        <v>-105901.89095693739</v>
      </c>
      <c r="I42" s="4">
        <f t="shared" si="10"/>
        <v>-101412.34120880422</v>
      </c>
      <c r="J42" s="4">
        <f t="shared" si="10"/>
        <v>-97366.0540696752</v>
      </c>
      <c r="K42" s="4">
        <f t="shared" si="10"/>
        <v>-93734.766029448263</v>
      </c>
      <c r="L42" s="4">
        <f t="shared" si="10"/>
        <v>-90492.450984172858</v>
      </c>
      <c r="M42" s="4">
        <f t="shared" si="10"/>
        <v>-87615.16204242692</v>
      </c>
      <c r="N42" s="4">
        <f t="shared" si="10"/>
        <v>-85080.885179387507</v>
      </c>
      <c r="O42" s="4">
        <f t="shared" si="10"/>
        <v>-82869.403877266057</v>
      </c>
      <c r="P42" s="4">
        <f t="shared" si="10"/>
        <v>-80962.173954360027</v>
      </c>
      <c r="Q42" s="4">
        <f t="shared" si="10"/>
        <v>-79342.207843896598</v>
      </c>
      <c r="R42" s="4">
        <f t="shared" si="10"/>
        <v>-73241.333091580251</v>
      </c>
      <c r="S42" s="4">
        <f t="shared" si="10"/>
        <v>-67588.477735294669</v>
      </c>
      <c r="T42" s="4">
        <f t="shared" si="10"/>
        <v>-62350.741348893018</v>
      </c>
      <c r="U42" s="4">
        <f t="shared" si="10"/>
        <v>-57497.639557966904</v>
      </c>
      <c r="V42" s="4">
        <f t="shared" si="10"/>
        <v>-53000.926616430144</v>
      </c>
      <c r="W42" s="4">
        <f t="shared" si="10"/>
        <v>-48834.431012239344</v>
      </c>
      <c r="X42" s="4">
        <f t="shared" si="10"/>
        <v>-44973.903145453034</v>
      </c>
      <c r="Y42" s="4">
        <f t="shared" si="10"/>
        <v>-41396.874192094001</v>
      </c>
    </row>
    <row r="43" spans="1:25" x14ac:dyDescent="0.25">
      <c r="A43" s="42"/>
    </row>
    <row r="44" spans="1:25" x14ac:dyDescent="0.25">
      <c r="A44" s="43" t="s">
        <v>181</v>
      </c>
      <c r="B44" s="45"/>
      <c r="C44" s="45"/>
      <c r="D44" s="45"/>
      <c r="E44" s="44">
        <f>+NPV(E40,E37:Y37)</f>
        <v>-38356.883481571342</v>
      </c>
      <c r="F44" s="45"/>
    </row>
    <row r="45" spans="1:25" x14ac:dyDescent="0.25">
      <c r="A45" s="43" t="s">
        <v>182</v>
      </c>
      <c r="B45" s="45"/>
      <c r="C45" s="45"/>
      <c r="D45" s="45"/>
      <c r="E45" s="46">
        <f>+IRR(E37:Y37,10)</f>
        <v>3.9488616714188352E-2</v>
      </c>
      <c r="F45" s="45"/>
    </row>
    <row r="46" spans="1:25" x14ac:dyDescent="0.25">
      <c r="A46" s="43" t="s">
        <v>183</v>
      </c>
      <c r="B46" s="45"/>
      <c r="C46" s="45"/>
      <c r="D46" s="45"/>
      <c r="E46" s="44" cm="1">
        <f t="array" ref="E46">+NPV(E40,E19:X19/-NPV(E40,E31:Y31))</f>
        <v>0.89868037340086782</v>
      </c>
      <c r="F46" s="45"/>
    </row>
    <row r="47" spans="1:25" x14ac:dyDescent="0.25">
      <c r="A47" s="43" t="s">
        <v>184</v>
      </c>
      <c r="B47" s="45"/>
      <c r="C47" s="45"/>
      <c r="D47" s="45"/>
      <c r="E47" s="45" cm="1">
        <f t="array" ref="E47">+LOOKUP(INDEX(E38:Y38,MATCH(TRUE,E38:Y38&gt;0,0)),E38:Y38,E9:Y9)</f>
        <v>16</v>
      </c>
      <c r="F47" s="45" t="s">
        <v>186</v>
      </c>
    </row>
    <row r="48" spans="1:25" x14ac:dyDescent="0.25">
      <c r="A48" s="43" t="s">
        <v>185</v>
      </c>
      <c r="B48" s="45"/>
      <c r="C48" s="45"/>
      <c r="D48" s="45"/>
      <c r="E48" s="45" t="e" cm="1">
        <f t="array" ref="E48">+LOOKUP(INDEX(E42:Y42,MATCH(TRUE,E42:Y42&gt;0,0)),E42:Y42,E9:Y9)</f>
        <v>#N/A</v>
      </c>
      <c r="F48" s="45" t="s">
        <v>186</v>
      </c>
    </row>
    <row r="51" spans="1:26" x14ac:dyDescent="0.25">
      <c r="A51" s="73" t="s">
        <v>169</v>
      </c>
      <c r="B51" s="73"/>
      <c r="C51" s="73"/>
      <c r="D51" s="73"/>
      <c r="E51" s="4">
        <f>-SUM(E11:E13)</f>
        <v>-122350</v>
      </c>
      <c r="F51" s="4">
        <f>IF(F9&lt;&gt;"",F31,"")</f>
        <v>-15991.700134378252</v>
      </c>
      <c r="G51" s="4">
        <f t="shared" ref="G51:Y51" si="11">IF(G9&lt;&gt;"",G31,"")</f>
        <v>-16050.884326664756</v>
      </c>
      <c r="H51" s="4">
        <f t="shared" si="11"/>
        <v>-16117.170622025642</v>
      </c>
      <c r="I51" s="4">
        <f t="shared" si="11"/>
        <v>-16191.411272829831</v>
      </c>
      <c r="J51" s="4">
        <f t="shared" si="11"/>
        <v>-16274.560801730526</v>
      </c>
      <c r="K51" s="4">
        <f t="shared" si="11"/>
        <v>-16367.688274099302</v>
      </c>
      <c r="L51" s="4">
        <f t="shared" si="11"/>
        <v>-16471.991043152331</v>
      </c>
      <c r="M51" s="4">
        <f t="shared" si="11"/>
        <v>-16588.810144491727</v>
      </c>
      <c r="N51" s="4">
        <f t="shared" si="11"/>
        <v>-16719.647537991848</v>
      </c>
      <c r="O51" s="4">
        <f t="shared" si="11"/>
        <v>-16866.185418711982</v>
      </c>
      <c r="P51" s="4">
        <f t="shared" si="11"/>
        <v>-17030.307845118536</v>
      </c>
      <c r="Q51" s="4">
        <f t="shared" si="11"/>
        <v>-17214.124962693873</v>
      </c>
      <c r="R51" s="4">
        <f t="shared" si="11"/>
        <v>-4609.9894517946868</v>
      </c>
      <c r="S51" s="4">
        <f t="shared" si="11"/>
        <v>-4609.9894517946868</v>
      </c>
      <c r="T51" s="4">
        <f t="shared" si="11"/>
        <v>-4609.9894517946868</v>
      </c>
      <c r="U51" s="4">
        <f t="shared" si="11"/>
        <v>-4609.9894517946868</v>
      </c>
      <c r="V51" s="4">
        <f t="shared" si="11"/>
        <v>-4609.9894517946868</v>
      </c>
      <c r="W51" s="4">
        <f t="shared" si="11"/>
        <v>-4609.9894517946868</v>
      </c>
      <c r="X51" s="4">
        <f t="shared" si="11"/>
        <v>-4609.9894517946868</v>
      </c>
      <c r="Y51" s="4">
        <f t="shared" si="11"/>
        <v>-4609.9894517946868</v>
      </c>
      <c r="Z51" s="4"/>
    </row>
    <row r="52" spans="1:26" x14ac:dyDescent="0.25">
      <c r="A52" s="73" t="s">
        <v>170</v>
      </c>
      <c r="B52" s="73"/>
      <c r="C52" s="73"/>
      <c r="D52" s="73"/>
      <c r="E52" s="4">
        <f>IF(E9&lt;&gt;"",E51*(1+$E$40)^-E9,"")</f>
        <v>-122350</v>
      </c>
      <c r="F52" s="4">
        <f>IF(F9&lt;&gt;"",F51*(1+$E$40)^-F9,"")</f>
        <v>-14817.34528747876</v>
      </c>
      <c r="G52" s="4">
        <f t="shared" ref="G52:Y52" si="12">IF(G9&lt;&gt;"",G51*(1+$E$40)^-G9,"")</f>
        <v>-13780.040450720042</v>
      </c>
      <c r="H52" s="4">
        <f t="shared" si="12"/>
        <v>-12820.828616538454</v>
      </c>
      <c r="I52" s="4">
        <f t="shared" si="12"/>
        <v>-11934.047422401949</v>
      </c>
      <c r="J52" s="4">
        <f t="shared" si="12"/>
        <v>-11114.453056883558</v>
      </c>
      <c r="K52" s="4">
        <f t="shared" si="12"/>
        <v>-10357.189626461506</v>
      </c>
      <c r="L52" s="4">
        <f t="shared" si="12"/>
        <v>-9657.7607757733003</v>
      </c>
      <c r="M52" s="4">
        <f t="shared" si="12"/>
        <v>-9012.003395987871</v>
      </c>
      <c r="N52" s="4">
        <f t="shared" si="12"/>
        <v>-8416.0632681068946</v>
      </c>
      <c r="O52" s="4">
        <f t="shared" si="12"/>
        <v>-7866.3724992617344</v>
      </c>
      <c r="P52" s="4">
        <f t="shared" si="12"/>
        <v>-7359.6286205012193</v>
      </c>
      <c r="Q52" s="4">
        <f t="shared" si="12"/>
        <v>-6892.7752242288461</v>
      </c>
      <c r="R52" s="4">
        <f t="shared" si="12"/>
        <v>-1710.349481527935</v>
      </c>
      <c r="S52" s="4">
        <f t="shared" si="12"/>
        <v>-1584.7495023733445</v>
      </c>
      <c r="T52" s="4">
        <f t="shared" si="12"/>
        <v>-1468.3729918338008</v>
      </c>
      <c r="U52" s="4">
        <f t="shared" si="12"/>
        <v>-1360.5426219840492</v>
      </c>
      <c r="V52" s="4">
        <f t="shared" si="12"/>
        <v>-1260.630804659166</v>
      </c>
      <c r="W52" s="4">
        <f t="shared" si="12"/>
        <v>-1168.0560388017361</v>
      </c>
      <c r="X52" s="4">
        <f t="shared" si="12"/>
        <v>-1082.2795260425833</v>
      </c>
      <c r="Y52" s="4">
        <f t="shared" si="12"/>
        <v>-1002.802034817251</v>
      </c>
      <c r="Z52" s="4"/>
    </row>
    <row r="53" spans="1:26" x14ac:dyDescent="0.25">
      <c r="A53" s="73" t="s">
        <v>171</v>
      </c>
      <c r="B53" s="73"/>
      <c r="C53" s="73"/>
      <c r="D53" s="73"/>
      <c r="E53" s="4">
        <f>+E52</f>
        <v>-122350</v>
      </c>
      <c r="F53" s="4">
        <f>+E53+F52</f>
        <v>-137167.34528747876</v>
      </c>
      <c r="G53" s="4">
        <f t="shared" ref="G53:Y53" si="13">+F53+G52</f>
        <v>-150947.38573819879</v>
      </c>
      <c r="H53" s="4">
        <f t="shared" si="13"/>
        <v>-163768.21435473725</v>
      </c>
      <c r="I53" s="4">
        <f t="shared" si="13"/>
        <v>-175702.26177713921</v>
      </c>
      <c r="J53" s="4">
        <f t="shared" si="13"/>
        <v>-186816.71483402277</v>
      </c>
      <c r="K53" s="4">
        <f t="shared" si="13"/>
        <v>-197173.90446048428</v>
      </c>
      <c r="L53" s="4">
        <f t="shared" si="13"/>
        <v>-206831.66523625757</v>
      </c>
      <c r="M53" s="4">
        <f t="shared" si="13"/>
        <v>-215843.66863224545</v>
      </c>
      <c r="N53" s="4">
        <f t="shared" si="13"/>
        <v>-224259.73190035234</v>
      </c>
      <c r="O53" s="4">
        <f t="shared" si="13"/>
        <v>-232126.10439961407</v>
      </c>
      <c r="P53" s="4">
        <f t="shared" si="13"/>
        <v>-239485.73302011529</v>
      </c>
      <c r="Q53" s="4">
        <f t="shared" si="13"/>
        <v>-246378.50824434415</v>
      </c>
      <c r="R53" s="4">
        <f t="shared" si="13"/>
        <v>-248088.85772587208</v>
      </c>
      <c r="S53" s="4">
        <f t="shared" si="13"/>
        <v>-249673.60722824541</v>
      </c>
      <c r="T53" s="4">
        <f t="shared" si="13"/>
        <v>-251141.98022007922</v>
      </c>
      <c r="U53" s="4">
        <f t="shared" si="13"/>
        <v>-252502.52284206328</v>
      </c>
      <c r="V53" s="4">
        <f t="shared" si="13"/>
        <v>-253763.15364672244</v>
      </c>
      <c r="W53" s="4">
        <f t="shared" si="13"/>
        <v>-254931.20968552417</v>
      </c>
      <c r="X53" s="4">
        <f t="shared" si="13"/>
        <v>-256013.48921156675</v>
      </c>
      <c r="Y53" s="4">
        <f t="shared" si="13"/>
        <v>-257016.291246384</v>
      </c>
    </row>
    <row r="54" spans="1:26" x14ac:dyDescent="0.25">
      <c r="A54" s="73" t="s">
        <v>172</v>
      </c>
      <c r="B54" s="73"/>
      <c r="C54" s="73"/>
      <c r="D54" s="73"/>
      <c r="E54" s="4"/>
      <c r="F54" s="4">
        <f>IF(F9&lt;&gt;"",F19,"")</f>
        <v>23922.244089881056</v>
      </c>
      <c r="G54" s="4">
        <f t="shared" ref="G54:Y54" si="14">IF(G9&lt;&gt;"",G19,"")</f>
        <v>23922.244089881056</v>
      </c>
      <c r="H54" s="4">
        <f t="shared" si="14"/>
        <v>23922.244089881056</v>
      </c>
      <c r="I54" s="4">
        <f t="shared" si="14"/>
        <v>23922.244089881056</v>
      </c>
      <c r="J54" s="4">
        <f t="shared" si="14"/>
        <v>23922.244089881056</v>
      </c>
      <c r="K54" s="4">
        <f t="shared" si="14"/>
        <v>23922.244089881056</v>
      </c>
      <c r="L54" s="4">
        <f t="shared" si="14"/>
        <v>23922.244089881056</v>
      </c>
      <c r="M54" s="4">
        <f t="shared" si="14"/>
        <v>23922.244089881056</v>
      </c>
      <c r="N54" s="4">
        <f t="shared" si="14"/>
        <v>23922.244089881056</v>
      </c>
      <c r="O54" s="4">
        <f t="shared" si="14"/>
        <v>23922.244089881056</v>
      </c>
      <c r="P54" s="4">
        <f t="shared" si="14"/>
        <v>23922.244089881056</v>
      </c>
      <c r="Q54" s="4">
        <f t="shared" si="14"/>
        <v>23922.244089881056</v>
      </c>
      <c r="R54" s="4">
        <f t="shared" si="14"/>
        <v>23922.244089881056</v>
      </c>
      <c r="S54" s="4">
        <f t="shared" si="14"/>
        <v>23922.244089881056</v>
      </c>
      <c r="T54" s="4">
        <f t="shared" si="14"/>
        <v>23922.244089881056</v>
      </c>
      <c r="U54" s="4">
        <f t="shared" si="14"/>
        <v>23922.244089881056</v>
      </c>
      <c r="V54" s="4">
        <f t="shared" si="14"/>
        <v>23922.244089881056</v>
      </c>
      <c r="W54" s="4">
        <f t="shared" si="14"/>
        <v>23922.244089881056</v>
      </c>
      <c r="X54" s="4">
        <f t="shared" si="14"/>
        <v>23922.244089881056</v>
      </c>
      <c r="Y54" s="4">
        <f t="shared" si="14"/>
        <v>23922.244089881056</v>
      </c>
    </row>
    <row r="55" spans="1:26" x14ac:dyDescent="0.25">
      <c r="A55" s="73" t="s">
        <v>173</v>
      </c>
      <c r="B55" s="73"/>
      <c r="C55" s="73"/>
      <c r="D55" s="73"/>
      <c r="F55" s="4">
        <f>IF(F9&lt;&gt;"",F54*(1+$E$40)^-F9,"")</f>
        <v>22165.507591597736</v>
      </c>
      <c r="G55" s="4">
        <f>IF(G9&lt;&gt;"",G54*(1+UnosPodataka!N15)^-G9,"")</f>
        <v>23922.244089881056</v>
      </c>
      <c r="H55" s="4">
        <f>IF(H9&lt;&gt;"",H54*(1+UnosPodataka!O15)^-H9,"")</f>
        <v>23922.244089881056</v>
      </c>
      <c r="I55" s="4">
        <f>IF(I9&lt;&gt;"",I54*(1+UnosPodataka!P15)^-I9,"")</f>
        <v>23922.244089881056</v>
      </c>
      <c r="J55" s="4">
        <f>IF(J9&lt;&gt;"",J54*(1+UnosPodataka!Q15)^-J9,"")</f>
        <v>23922.244089881056</v>
      </c>
      <c r="K55" s="4">
        <f>IF(K9&lt;&gt;"",K54*(1+UnosPodataka!R15)^-K9,"")</f>
        <v>23922.244089881056</v>
      </c>
      <c r="L55" s="4">
        <f>IF(L9&lt;&gt;"",L54*(1+UnosPodataka!S15)^-L9,"")</f>
        <v>23922.244089881056</v>
      </c>
      <c r="M55" s="4">
        <f>IF(M9&lt;&gt;"",M54*(1+UnosPodataka!T15)^-M9,"")</f>
        <v>23922.244089881056</v>
      </c>
      <c r="N55" s="4">
        <f>IF(N9&lt;&gt;"",N54*(1+UnosPodataka!U15)^-N9,"")</f>
        <v>23922.244089881056</v>
      </c>
      <c r="O55" s="4">
        <f>IF(O9&lt;&gt;"",O54*(1+UnosPodataka!V15)^-O9,"")</f>
        <v>23922.244089881056</v>
      </c>
      <c r="P55" s="4">
        <f>IF(P9&lt;&gt;"",P54*(1+UnosPodataka!W15)^-P9,"")</f>
        <v>23922.244089881056</v>
      </c>
      <c r="Q55" s="4">
        <f>IF(Q9&lt;&gt;"",Q54*(1+UnosPodataka!X15)^-Q9,"")</f>
        <v>23922.244089881056</v>
      </c>
      <c r="R55" s="4">
        <f>IF(R9&lt;&gt;"",R54*(1+UnosPodataka!Y15)^-R9,"")</f>
        <v>23922.244089881056</v>
      </c>
      <c r="S55" s="4">
        <f>IF(S9&lt;&gt;"",S54*(1+UnosPodataka!Z15)^-S9,"")</f>
        <v>23922.244089881056</v>
      </c>
      <c r="T55" s="4">
        <f>IF(T9&lt;&gt;"",T54*(1+UnosPodataka!AA15)^-T9,"")</f>
        <v>23922.244089881056</v>
      </c>
      <c r="U55" s="4">
        <f>IF(U9&lt;&gt;"",U54*(1+UnosPodataka!AB15)^-U9,"")</f>
        <v>23922.244089881056</v>
      </c>
      <c r="V55" s="4">
        <f>IF(V9&lt;&gt;"",V54*(1+UnosPodataka!AC15)^-V9,"")</f>
        <v>23922.244089881056</v>
      </c>
      <c r="W55" s="4">
        <f>IF(W9&lt;&gt;"",W54*(1+UnosPodataka!AD15)^-W9,"")</f>
        <v>23922.244089881056</v>
      </c>
      <c r="X55" s="4">
        <f>IF(X9&lt;&gt;"",X54*(1+UnosPodataka!AE15)^-X9,"")</f>
        <v>23922.244089881056</v>
      </c>
      <c r="Y55" s="4">
        <f>IF(Y9&lt;&gt;"",Y54*(1+UnosPodataka!AF15)^-Y9,"")</f>
        <v>23922.244089881056</v>
      </c>
    </row>
    <row r="56" spans="1:26" x14ac:dyDescent="0.25">
      <c r="A56" s="73" t="s">
        <v>174</v>
      </c>
      <c r="B56" s="73"/>
      <c r="C56" s="73"/>
      <c r="D56" s="73"/>
      <c r="E56" s="4"/>
      <c r="F56" s="4">
        <f>+E56+F55</f>
        <v>22165.507591597736</v>
      </c>
      <c r="G56" s="4">
        <f>+F56+G55</f>
        <v>46087.751681478796</v>
      </c>
      <c r="H56" s="4">
        <f t="shared" ref="H56:Y56" si="15">+G56+H55</f>
        <v>70009.995771359856</v>
      </c>
      <c r="I56" s="4">
        <f t="shared" si="15"/>
        <v>93932.239861240916</v>
      </c>
      <c r="J56" s="4">
        <f t="shared" si="15"/>
        <v>117854.48395112198</v>
      </c>
      <c r="K56" s="4">
        <f t="shared" si="15"/>
        <v>141776.72804100302</v>
      </c>
      <c r="L56" s="4">
        <f t="shared" si="15"/>
        <v>165698.97213088407</v>
      </c>
      <c r="M56" s="4">
        <f t="shared" si="15"/>
        <v>189621.21622076511</v>
      </c>
      <c r="N56" s="4">
        <f t="shared" si="15"/>
        <v>213543.46031064616</v>
      </c>
      <c r="O56" s="4">
        <f t="shared" si="15"/>
        <v>237465.7044005272</v>
      </c>
      <c r="P56" s="4">
        <f t="shared" si="15"/>
        <v>261387.94849040825</v>
      </c>
      <c r="Q56" s="4">
        <f t="shared" si="15"/>
        <v>285310.19258028932</v>
      </c>
      <c r="R56" s="4">
        <f t="shared" si="15"/>
        <v>309232.4366701704</v>
      </c>
      <c r="S56" s="4">
        <f t="shared" si="15"/>
        <v>333154.68076005147</v>
      </c>
      <c r="T56" s="4">
        <f t="shared" si="15"/>
        <v>357076.92484993255</v>
      </c>
      <c r="U56" s="4">
        <f t="shared" si="15"/>
        <v>380999.16893981362</v>
      </c>
      <c r="V56" s="4">
        <f t="shared" si="15"/>
        <v>404921.4130296947</v>
      </c>
      <c r="W56" s="4">
        <f t="shared" si="15"/>
        <v>428843.65711957577</v>
      </c>
      <c r="X56" s="4">
        <f t="shared" si="15"/>
        <v>452765.90120945685</v>
      </c>
      <c r="Y56" s="4">
        <f t="shared" si="15"/>
        <v>476688.14529933792</v>
      </c>
    </row>
    <row r="57" spans="1:26" x14ac:dyDescent="0.25">
      <c r="A57" s="73" t="s">
        <v>175</v>
      </c>
      <c r="B57" s="73"/>
      <c r="C57" s="73"/>
      <c r="D57" s="73"/>
      <c r="F57" s="4">
        <f t="shared" ref="F57:X57" si="16">IF(F9&lt;&gt;"",F56+F53,"")</f>
        <v>-115001.83769588103</v>
      </c>
      <c r="G57" s="4">
        <f t="shared" si="16"/>
        <v>-104859.63405671999</v>
      </c>
      <c r="H57" s="4">
        <f t="shared" si="16"/>
        <v>-93758.218583377398</v>
      </c>
      <c r="I57" s="4">
        <f t="shared" si="16"/>
        <v>-81770.021915898295</v>
      </c>
      <c r="J57" s="4">
        <f t="shared" si="16"/>
        <v>-68962.230882900796</v>
      </c>
      <c r="K57" s="4">
        <f t="shared" si="16"/>
        <v>-55397.176419481257</v>
      </c>
      <c r="L57" s="4">
        <f t="shared" si="16"/>
        <v>-41132.693105373502</v>
      </c>
      <c r="M57" s="4">
        <f t="shared" si="16"/>
        <v>-26222.452411480335</v>
      </c>
      <c r="N57" s="4">
        <f t="shared" si="16"/>
        <v>-10716.271589706186</v>
      </c>
      <c r="O57" s="4">
        <f t="shared" si="16"/>
        <v>5339.6000009131385</v>
      </c>
      <c r="P57" s="4">
        <f t="shared" si="16"/>
        <v>21902.215470292955</v>
      </c>
      <c r="Q57" s="4">
        <f t="shared" si="16"/>
        <v>38931.684335945174</v>
      </c>
      <c r="R57" s="4">
        <f t="shared" si="16"/>
        <v>61143.578944298322</v>
      </c>
      <c r="S57" s="4">
        <f t="shared" si="16"/>
        <v>83481.073531806062</v>
      </c>
      <c r="T57" s="4">
        <f t="shared" si="16"/>
        <v>105934.94462985333</v>
      </c>
      <c r="U57" s="4">
        <f t="shared" si="16"/>
        <v>128496.64609775034</v>
      </c>
      <c r="V57" s="4">
        <f t="shared" si="16"/>
        <v>151158.25938297226</v>
      </c>
      <c r="W57" s="4">
        <f t="shared" si="16"/>
        <v>173912.4474340516</v>
      </c>
      <c r="X57" s="4">
        <f t="shared" si="16"/>
        <v>196752.4119978901</v>
      </c>
    </row>
    <row r="58" spans="1:26" x14ac:dyDescent="0.25">
      <c r="A58" s="41" t="s">
        <v>176</v>
      </c>
      <c r="B58" s="41"/>
      <c r="C58" s="41"/>
      <c r="D58" s="41"/>
      <c r="E58" s="45"/>
      <c r="F58" s="47">
        <f>-F51/F14</f>
        <v>58.135172971299085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60" spans="1:26" x14ac:dyDescent="0.25">
      <c r="A60" s="73" t="s">
        <v>124</v>
      </c>
      <c r="B60" s="73"/>
      <c r="C60" s="73"/>
      <c r="D60" s="73"/>
      <c r="E60" s="4">
        <f>E11</f>
        <v>79350</v>
      </c>
      <c r="F60" s="4">
        <f t="shared" ref="F60:Y60" si="17">IF(F9="",E60,-F53)</f>
        <v>137167.34528747876</v>
      </c>
      <c r="G60" s="4">
        <f t="shared" si="17"/>
        <v>150947.38573819879</v>
      </c>
      <c r="H60" s="4">
        <f t="shared" si="17"/>
        <v>163768.21435473725</v>
      </c>
      <c r="I60" s="4">
        <f t="shared" si="17"/>
        <v>175702.26177713921</v>
      </c>
      <c r="J60" s="4">
        <f t="shared" si="17"/>
        <v>186816.71483402277</v>
      </c>
      <c r="K60" s="4">
        <f t="shared" si="17"/>
        <v>197173.90446048428</v>
      </c>
      <c r="L60" s="4">
        <f t="shared" si="17"/>
        <v>206831.66523625757</v>
      </c>
      <c r="M60" s="4">
        <f t="shared" si="17"/>
        <v>215843.66863224545</v>
      </c>
      <c r="N60" s="4">
        <f t="shared" si="17"/>
        <v>224259.73190035234</v>
      </c>
      <c r="O60" s="4">
        <f t="shared" si="17"/>
        <v>232126.10439961407</v>
      </c>
      <c r="P60" s="4">
        <f t="shared" si="17"/>
        <v>239485.73302011529</v>
      </c>
      <c r="Q60" s="4">
        <f t="shared" si="17"/>
        <v>246378.50824434415</v>
      </c>
      <c r="R60" s="4">
        <f t="shared" si="17"/>
        <v>248088.85772587208</v>
      </c>
      <c r="S60" s="4">
        <f t="shared" si="17"/>
        <v>249673.60722824541</v>
      </c>
      <c r="T60" s="4">
        <f t="shared" si="17"/>
        <v>251141.98022007922</v>
      </c>
      <c r="U60" s="4">
        <f t="shared" si="17"/>
        <v>252502.52284206328</v>
      </c>
      <c r="V60" s="4">
        <f t="shared" si="17"/>
        <v>253763.15364672244</v>
      </c>
      <c r="W60" s="4">
        <f t="shared" si="17"/>
        <v>254931.20968552417</v>
      </c>
      <c r="X60" s="4">
        <f t="shared" si="17"/>
        <v>256013.48921156675</v>
      </c>
      <c r="Y60" s="4">
        <f t="shared" si="17"/>
        <v>257016.291246384</v>
      </c>
    </row>
    <row r="61" spans="1:26" x14ac:dyDescent="0.25">
      <c r="A61" s="73" t="s">
        <v>125</v>
      </c>
      <c r="B61" s="73"/>
      <c r="C61" s="73"/>
      <c r="D61" s="73"/>
      <c r="F61" s="4">
        <f t="shared" ref="F61:Y61" si="18">IF(F9="",E61,F56)</f>
        <v>22165.507591597736</v>
      </c>
      <c r="G61" s="4">
        <f t="shared" si="18"/>
        <v>46087.751681478796</v>
      </c>
      <c r="H61" s="4">
        <f t="shared" si="18"/>
        <v>70009.995771359856</v>
      </c>
      <c r="I61" s="4">
        <f t="shared" si="18"/>
        <v>93932.239861240916</v>
      </c>
      <c r="J61" s="4">
        <f t="shared" si="18"/>
        <v>117854.48395112198</v>
      </c>
      <c r="K61" s="4">
        <f t="shared" si="18"/>
        <v>141776.72804100302</v>
      </c>
      <c r="L61" s="4">
        <f t="shared" si="18"/>
        <v>165698.97213088407</v>
      </c>
      <c r="M61" s="4">
        <f t="shared" si="18"/>
        <v>189621.21622076511</v>
      </c>
      <c r="N61" s="4">
        <f t="shared" si="18"/>
        <v>213543.46031064616</v>
      </c>
      <c r="O61" s="4">
        <f t="shared" si="18"/>
        <v>237465.7044005272</v>
      </c>
      <c r="P61" s="4">
        <f t="shared" si="18"/>
        <v>261387.94849040825</v>
      </c>
      <c r="Q61" s="4">
        <f t="shared" si="18"/>
        <v>285310.19258028932</v>
      </c>
      <c r="R61" s="4">
        <f t="shared" si="18"/>
        <v>309232.4366701704</v>
      </c>
      <c r="S61" s="4">
        <f t="shared" si="18"/>
        <v>333154.68076005147</v>
      </c>
      <c r="T61" s="4">
        <f t="shared" si="18"/>
        <v>357076.92484993255</v>
      </c>
      <c r="U61" s="4">
        <f t="shared" si="18"/>
        <v>380999.16893981362</v>
      </c>
      <c r="V61" s="4">
        <f t="shared" si="18"/>
        <v>404921.4130296947</v>
      </c>
      <c r="W61" s="4">
        <f t="shared" si="18"/>
        <v>428843.65711957577</v>
      </c>
      <c r="X61" s="4">
        <f t="shared" si="18"/>
        <v>452765.90120945685</v>
      </c>
      <c r="Y61" s="4">
        <f t="shared" si="18"/>
        <v>476688.14529933792</v>
      </c>
    </row>
  </sheetData>
  <sheetProtection selectLockedCells="1"/>
  <mergeCells count="35">
    <mergeCell ref="I7:J7"/>
    <mergeCell ref="N7:O7"/>
    <mergeCell ref="A14:D14"/>
    <mergeCell ref="A7:D7"/>
    <mergeCell ref="A9:D9"/>
    <mergeCell ref="A11:D11"/>
    <mergeCell ref="A12:D12"/>
    <mergeCell ref="A13:D13"/>
    <mergeCell ref="A52:D52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  <mergeCell ref="A32:D32"/>
    <mergeCell ref="A16:D16"/>
    <mergeCell ref="A21:D21"/>
    <mergeCell ref="A27:D27"/>
    <mergeCell ref="E3:H3"/>
    <mergeCell ref="A61:D61"/>
    <mergeCell ref="A18:D18"/>
    <mergeCell ref="A53:D53"/>
    <mergeCell ref="A54:D54"/>
    <mergeCell ref="A55:D55"/>
    <mergeCell ref="A56:D56"/>
    <mergeCell ref="A57:D57"/>
    <mergeCell ref="A60:D60"/>
    <mergeCell ref="A33:D33"/>
    <mergeCell ref="A34:D34"/>
    <mergeCell ref="A35:D35"/>
    <mergeCell ref="A51:D51"/>
  </mergeCells>
  <dataValidations disablePrompts="1"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I12"/>
  <sheetViews>
    <sheetView workbookViewId="0">
      <selection activeCell="H5" sqref="H5"/>
    </sheetView>
  </sheetViews>
  <sheetFormatPr defaultRowHeight="15" x14ac:dyDescent="0.25"/>
  <sheetData>
    <row r="3" spans="1:9" ht="16.5" x14ac:dyDescent="0.35">
      <c r="F3" s="63" t="s">
        <v>160</v>
      </c>
      <c r="G3" s="63"/>
      <c r="H3" s="63"/>
      <c r="I3" s="63"/>
    </row>
    <row r="7" spans="1:9" ht="15" customHeight="1" x14ac:dyDescent="0.25">
      <c r="A7" s="65" t="s">
        <v>130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140</v>
      </c>
      <c r="B11" s="67"/>
      <c r="C11" s="68" t="s">
        <v>141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Pocetna</vt:lpstr>
      <vt:lpstr>KonvFaktor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EQUITY</vt:lpstr>
      <vt:lpstr>FIRR</vt:lpstr>
      <vt:lpstr>FNPV</vt:lpstr>
      <vt:lpstr>Investment</vt:lpstr>
      <vt:lpstr>LCoE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2023-07-18T10:26:34Z</dcterms:modified>
</cp:coreProperties>
</file>