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30ACA7A8-9704-4139-91C2-F698EE0EA7B4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Pocetna" sheetId="1" r:id="rId1"/>
    <sheet name="PomTab1" sheetId="4" state="hidden" r:id="rId2"/>
    <sheet name="UnosPodataka" sheetId="2" r:id="rId3"/>
    <sheet name="Ustede" sheetId="5" r:id="rId4"/>
    <sheet name="Anuiteti" sheetId="6" r:id="rId5"/>
    <sheet name="FinaIndicators" sheetId="7" r:id="rId6"/>
    <sheet name="FinInd+CO2" sheetId="17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  <externalReference r:id="rId16"/>
  </externalReferences>
  <definedNames>
    <definedName name="CARBON">UnosPodataka!$M$13</definedName>
    <definedName name="Equity">UnosPodataka!$F$26</definedName>
    <definedName name="FIRR" localSheetId="6">'FinInd+CO2'!#REF!</definedName>
    <definedName name="FIRR">FinaIndicators!#REF!</definedName>
    <definedName name="FNPV" localSheetId="6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7" l="1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X23" i="17"/>
  <c r="Y23" i="17"/>
  <c r="G23" i="17"/>
  <c r="F23" i="1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9" i="2"/>
  <c r="M13" i="2"/>
  <c r="P13" i="2"/>
  <c r="F26" i="17"/>
  <c r="F24" i="17"/>
  <c r="E12" i="17"/>
  <c r="G9" i="17"/>
  <c r="G26" i="17" l="1"/>
  <c r="H9" i="17"/>
  <c r="G24" i="17"/>
  <c r="I9" i="17" l="1"/>
  <c r="H24" i="17"/>
  <c r="H26" i="17"/>
  <c r="I26" i="17" l="1"/>
  <c r="I24" i="17"/>
  <c r="I22" i="17"/>
  <c r="J9" i="17"/>
  <c r="J24" i="17" l="1"/>
  <c r="J22" i="17"/>
  <c r="J26" i="17"/>
  <c r="K9" i="17"/>
  <c r="K22" i="17" l="1"/>
  <c r="K26" i="17"/>
  <c r="L9" i="17"/>
  <c r="K24" i="17"/>
  <c r="L22" i="17" l="1"/>
  <c r="L26" i="17"/>
  <c r="M9" i="17"/>
  <c r="L24" i="17"/>
  <c r="M26" i="17" l="1"/>
  <c r="M24" i="17"/>
  <c r="N9" i="17"/>
  <c r="M22" i="17"/>
  <c r="N24" i="17" l="1"/>
  <c r="O9" i="17"/>
  <c r="N26" i="17"/>
  <c r="N22" i="17"/>
  <c r="O24" i="17" l="1"/>
  <c r="O22" i="17"/>
  <c r="O26" i="17"/>
  <c r="P9" i="17"/>
  <c r="P22" i="17" l="1"/>
  <c r="Q9" i="17"/>
  <c r="P26" i="17"/>
  <c r="P24" i="17"/>
  <c r="Q26" i="17" l="1"/>
  <c r="Q24" i="17"/>
  <c r="Q22" i="17"/>
  <c r="R9" i="17"/>
  <c r="R26" i="17" l="1"/>
  <c r="R24" i="17"/>
  <c r="R22" i="17"/>
  <c r="S9" i="17"/>
  <c r="S24" i="17" l="1"/>
  <c r="T9" i="17"/>
  <c r="S22" i="17"/>
  <c r="S26" i="17"/>
  <c r="T22" i="17" l="1"/>
  <c r="T24" i="17"/>
  <c r="U9" i="17"/>
  <c r="T26" i="17"/>
  <c r="U26" i="17" l="1"/>
  <c r="U24" i="17"/>
  <c r="U22" i="17"/>
  <c r="V9" i="17"/>
  <c r="V22" i="17" l="1"/>
  <c r="V26" i="17"/>
  <c r="V24" i="17"/>
  <c r="W9" i="17"/>
  <c r="W26" i="17" l="1"/>
  <c r="X9" i="17"/>
  <c r="W24" i="17"/>
  <c r="W22" i="17"/>
  <c r="X22" i="17" l="1"/>
  <c r="Y9" i="17"/>
  <c r="X24" i="17"/>
  <c r="X26" i="17"/>
  <c r="Y26" i="17" l="1"/>
  <c r="Y24" i="17"/>
  <c r="Y22" i="17"/>
  <c r="K24" i="4" l="1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P39" i="4" l="1"/>
  <c r="F25" i="7" l="1"/>
  <c r="F19" i="5"/>
  <c r="F20" i="5" l="1"/>
  <c r="G17" i="17" s="1"/>
  <c r="F14" i="17"/>
  <c r="F18" i="17" s="1"/>
  <c r="G14" i="17"/>
  <c r="G18" i="17" s="1"/>
  <c r="H14" i="17"/>
  <c r="H18" i="17" s="1"/>
  <c r="I14" i="17"/>
  <c r="I18" i="17" s="1"/>
  <c r="J14" i="17"/>
  <c r="J18" i="17" s="1"/>
  <c r="K14" i="17"/>
  <c r="K18" i="17" s="1"/>
  <c r="L14" i="17"/>
  <c r="L18" i="17" s="1"/>
  <c r="M14" i="17"/>
  <c r="M18" i="17" s="1"/>
  <c r="N14" i="17"/>
  <c r="N18" i="17" s="1"/>
  <c r="O14" i="17"/>
  <c r="O18" i="17" s="1"/>
  <c r="P14" i="17"/>
  <c r="P18" i="17" s="1"/>
  <c r="Q14" i="17"/>
  <c r="Q18" i="17" s="1"/>
  <c r="R14" i="17"/>
  <c r="R18" i="17" s="1"/>
  <c r="S14" i="17"/>
  <c r="S18" i="17" s="1"/>
  <c r="T14" i="17"/>
  <c r="T18" i="17" s="1"/>
  <c r="U14" i="17"/>
  <c r="U18" i="17" s="1"/>
  <c r="V14" i="17"/>
  <c r="V18" i="17" s="1"/>
  <c r="W14" i="17"/>
  <c r="W18" i="17" s="1"/>
  <c r="X14" i="17"/>
  <c r="X18" i="17" s="1"/>
  <c r="Y14" i="17"/>
  <c r="Y18" i="17" s="1"/>
  <c r="F17" i="17"/>
  <c r="I17" i="17"/>
  <c r="J17" i="17"/>
  <c r="J19" i="17" s="1"/>
  <c r="M17" i="17"/>
  <c r="M19" i="17" s="1"/>
  <c r="N17" i="17"/>
  <c r="Q17" i="17"/>
  <c r="Q19" i="17" s="1"/>
  <c r="R17" i="17"/>
  <c r="R19" i="17" s="1"/>
  <c r="U17" i="17"/>
  <c r="U19" i="17" s="1"/>
  <c r="V17" i="17"/>
  <c r="Y17" i="17"/>
  <c r="Y19" i="17" s="1"/>
  <c r="F10" i="12"/>
  <c r="F14" i="7"/>
  <c r="G9" i="7"/>
  <c r="E12" i="7"/>
  <c r="X17" i="17" l="1"/>
  <c r="X19" i="17" s="1"/>
  <c r="X54" i="17" s="1"/>
  <c r="T17" i="17"/>
  <c r="T19" i="17" s="1"/>
  <c r="T54" i="17" s="1"/>
  <c r="P17" i="17"/>
  <c r="P19" i="17" s="1"/>
  <c r="P28" i="17" s="1"/>
  <c r="L17" i="17"/>
  <c r="L19" i="17" s="1"/>
  <c r="L28" i="17" s="1"/>
  <c r="H17" i="17"/>
  <c r="H19" i="17" s="1"/>
  <c r="W17" i="17"/>
  <c r="W19" i="17" s="1"/>
  <c r="W54" i="17" s="1"/>
  <c r="S17" i="17"/>
  <c r="S19" i="17" s="1"/>
  <c r="S28" i="17" s="1"/>
  <c r="O17" i="17"/>
  <c r="O19" i="17" s="1"/>
  <c r="O54" i="17" s="1"/>
  <c r="K17" i="17"/>
  <c r="K19" i="17" s="1"/>
  <c r="K28" i="17" s="1"/>
  <c r="N19" i="17"/>
  <c r="N54" i="17" s="1"/>
  <c r="F19" i="17"/>
  <c r="F54" i="17" s="1"/>
  <c r="I19" i="17"/>
  <c r="I28" i="17" s="1"/>
  <c r="V19" i="17"/>
  <c r="V28" i="17" s="1"/>
  <c r="G19" i="17"/>
  <c r="G28" i="17" s="1"/>
  <c r="F25" i="17"/>
  <c r="F26" i="7"/>
  <c r="F27" i="17"/>
  <c r="G27" i="17"/>
  <c r="G25" i="17"/>
  <c r="H27" i="17"/>
  <c r="H25" i="17"/>
  <c r="I27" i="17"/>
  <c r="I25" i="17"/>
  <c r="J25" i="17"/>
  <c r="J27" i="17"/>
  <c r="K25" i="17"/>
  <c r="K27" i="17"/>
  <c r="L27" i="17"/>
  <c r="L25" i="17"/>
  <c r="M27" i="17"/>
  <c r="M25" i="17"/>
  <c r="N27" i="17"/>
  <c r="N25" i="17"/>
  <c r="O25" i="17"/>
  <c r="O27" i="17"/>
  <c r="P27" i="17"/>
  <c r="P25" i="17"/>
  <c r="Q27" i="17"/>
  <c r="Q25" i="17"/>
  <c r="R27" i="17"/>
  <c r="R25" i="17"/>
  <c r="S27" i="17"/>
  <c r="S25" i="17"/>
  <c r="T27" i="17"/>
  <c r="T25" i="17"/>
  <c r="U27" i="17"/>
  <c r="U25" i="17"/>
  <c r="V25" i="17"/>
  <c r="V27" i="17"/>
  <c r="W25" i="17"/>
  <c r="W27" i="17"/>
  <c r="X27" i="17"/>
  <c r="X25" i="17"/>
  <c r="Y27" i="17"/>
  <c r="Y25" i="17"/>
  <c r="Y28" i="17"/>
  <c r="Y54" i="17"/>
  <c r="Q28" i="17"/>
  <c r="Q54" i="17"/>
  <c r="T28" i="17"/>
  <c r="U54" i="17"/>
  <c r="U28" i="17"/>
  <c r="M28" i="17"/>
  <c r="M54" i="17"/>
  <c r="X28" i="17"/>
  <c r="H28" i="17"/>
  <c r="H54" i="17"/>
  <c r="K54" i="17"/>
  <c r="V54" i="17"/>
  <c r="R54" i="17"/>
  <c r="R28" i="17"/>
  <c r="J54" i="17"/>
  <c r="J28" i="17"/>
  <c r="G26" i="7"/>
  <c r="F16" i="12"/>
  <c r="G25" i="7"/>
  <c r="E10" i="16"/>
  <c r="F12" i="12"/>
  <c r="F17" i="7"/>
  <c r="G10" i="12"/>
  <c r="G24" i="7"/>
  <c r="F24" i="7"/>
  <c r="H9" i="7"/>
  <c r="G14" i="7"/>
  <c r="G17" i="7"/>
  <c r="O28" i="17" l="1"/>
  <c r="S54" i="17"/>
  <c r="W28" i="17"/>
  <c r="L54" i="17"/>
  <c r="N28" i="17"/>
  <c r="F28" i="17"/>
  <c r="L29" i="17"/>
  <c r="L32" i="17" s="1"/>
  <c r="L34" i="17" s="1"/>
  <c r="L35" i="17" s="1"/>
  <c r="L37" i="17" s="1"/>
  <c r="I54" i="17"/>
  <c r="G54" i="17"/>
  <c r="P54" i="17"/>
  <c r="P29" i="17"/>
  <c r="P51" i="17" s="1"/>
  <c r="N29" i="17"/>
  <c r="N32" i="17" s="1"/>
  <c r="N34" i="17" s="1"/>
  <c r="N31" i="17" s="1"/>
  <c r="V29" i="17"/>
  <c r="V32" i="17" s="1"/>
  <c r="V34" i="17" s="1"/>
  <c r="V35" i="17" s="1"/>
  <c r="V37" i="17" s="1"/>
  <c r="X29" i="17"/>
  <c r="X32" i="17" s="1"/>
  <c r="X34" i="17" s="1"/>
  <c r="X31" i="17" s="1"/>
  <c r="U29" i="17"/>
  <c r="U32" i="17" s="1"/>
  <c r="U34" i="17" s="1"/>
  <c r="U35" i="17" s="1"/>
  <c r="U37" i="17" s="1"/>
  <c r="Y29" i="17"/>
  <c r="Y32" i="17" s="1"/>
  <c r="Y34" i="17" s="1"/>
  <c r="Y31" i="17" s="1"/>
  <c r="R29" i="17"/>
  <c r="R32" i="17" s="1"/>
  <c r="R34" i="17" s="1"/>
  <c r="T29" i="17"/>
  <c r="T32" i="17" s="1"/>
  <c r="T34" i="17" s="1"/>
  <c r="T35" i="17" s="1"/>
  <c r="T37" i="17" s="1"/>
  <c r="O29" i="17"/>
  <c r="O51" i="17" s="1"/>
  <c r="W29" i="17"/>
  <c r="W32" i="17" s="1"/>
  <c r="W34" i="17" s="1"/>
  <c r="W31" i="17" s="1"/>
  <c r="I29" i="17"/>
  <c r="I32" i="17" s="1"/>
  <c r="J29" i="17"/>
  <c r="J32" i="17" s="1"/>
  <c r="K29" i="17"/>
  <c r="K32" i="17" s="1"/>
  <c r="K34" i="17" s="1"/>
  <c r="K35" i="17" s="1"/>
  <c r="K37" i="17" s="1"/>
  <c r="S29" i="17"/>
  <c r="S32" i="17" s="1"/>
  <c r="S34" i="17" s="1"/>
  <c r="S35" i="17" s="1"/>
  <c r="S37" i="17" s="1"/>
  <c r="M29" i="17"/>
  <c r="M51" i="17" s="1"/>
  <c r="Q29" i="17"/>
  <c r="Q32" i="17" s="1"/>
  <c r="Q34" i="17" s="1"/>
  <c r="Q31" i="17" s="1"/>
  <c r="U51" i="17"/>
  <c r="H26" i="7"/>
  <c r="G16" i="12"/>
  <c r="H25" i="7"/>
  <c r="H10" i="12"/>
  <c r="I9" i="7"/>
  <c r="H24" i="7"/>
  <c r="H17" i="7"/>
  <c r="H14" i="7"/>
  <c r="L51" i="17" l="1"/>
  <c r="P32" i="17"/>
  <c r="O32" i="17"/>
  <c r="O34" i="17" s="1"/>
  <c r="O31" i="17" s="1"/>
  <c r="K51" i="17"/>
  <c r="W51" i="17"/>
  <c r="Y51" i="17"/>
  <c r="N51" i="17"/>
  <c r="S31" i="17"/>
  <c r="V51" i="17"/>
  <c r="I51" i="17"/>
  <c r="W35" i="17"/>
  <c r="W37" i="17" s="1"/>
  <c r="S51" i="17"/>
  <c r="M32" i="17"/>
  <c r="M34" i="17" s="1"/>
  <c r="M31" i="17" s="1"/>
  <c r="X51" i="17"/>
  <c r="Q51" i="17"/>
  <c r="R31" i="17"/>
  <c r="R35" i="17"/>
  <c r="R37" i="17" s="1"/>
  <c r="J51" i="17"/>
  <c r="J34" i="17"/>
  <c r="J35" i="17" s="1"/>
  <c r="J37" i="17" s="1"/>
  <c r="T51" i="17"/>
  <c r="R51" i="17"/>
  <c r="L31" i="17"/>
  <c r="U31" i="17"/>
  <c r="T31" i="17"/>
  <c r="X35" i="17"/>
  <c r="X37" i="17" s="1"/>
  <c r="Q35" i="17"/>
  <c r="Q37" i="17" s="1"/>
  <c r="V31" i="17"/>
  <c r="N35" i="17"/>
  <c r="N37" i="17" s="1"/>
  <c r="Y35" i="17"/>
  <c r="Y37" i="17" s="1"/>
  <c r="I34" i="17"/>
  <c r="I31" i="17" s="1"/>
  <c r="P34" i="17"/>
  <c r="P31" i="17" s="1"/>
  <c r="K31" i="17"/>
  <c r="I26" i="7"/>
  <c r="H16" i="12"/>
  <c r="I25" i="7"/>
  <c r="I10" i="12"/>
  <c r="J9" i="7"/>
  <c r="I17" i="7"/>
  <c r="I14" i="7"/>
  <c r="I24" i="7"/>
  <c r="J31" i="17" l="1"/>
  <c r="O35" i="17"/>
  <c r="O37" i="17" s="1"/>
  <c r="I35" i="17"/>
  <c r="I37" i="17" s="1"/>
  <c r="M35" i="17"/>
  <c r="M37" i="17" s="1"/>
  <c r="P35" i="17"/>
  <c r="P37" i="17" s="1"/>
  <c r="J26" i="7"/>
  <c r="I16" i="12"/>
  <c r="J25" i="7"/>
  <c r="J10" i="12"/>
  <c r="K9" i="7"/>
  <c r="J24" i="7"/>
  <c r="J17" i="7"/>
  <c r="J14" i="7"/>
  <c r="K26" i="7" l="1"/>
  <c r="J16" i="12"/>
  <c r="K25" i="7"/>
  <c r="K10" i="12"/>
  <c r="L9" i="7"/>
  <c r="K24" i="7"/>
  <c r="K17" i="7"/>
  <c r="K14" i="7"/>
  <c r="K16" i="12" l="1"/>
  <c r="L26" i="7"/>
  <c r="L25" i="7"/>
  <c r="L10" i="12"/>
  <c r="M9" i="7"/>
  <c r="L24" i="7"/>
  <c r="L17" i="7"/>
  <c r="L14" i="7"/>
  <c r="M26" i="7" l="1"/>
  <c r="L16" i="12"/>
  <c r="M25" i="7"/>
  <c r="M10" i="12"/>
  <c r="N9" i="7"/>
  <c r="M24" i="7"/>
  <c r="M17" i="7"/>
  <c r="M14" i="7"/>
  <c r="M16" i="12" s="1"/>
  <c r="N26" i="7" l="1"/>
  <c r="N25" i="7"/>
  <c r="N10" i="12"/>
  <c r="O9" i="7"/>
  <c r="N24" i="7"/>
  <c r="N17" i="7"/>
  <c r="N14" i="7"/>
  <c r="N16" i="12" s="1"/>
  <c r="N21" i="7"/>
  <c r="O26" i="7" l="1"/>
  <c r="O25" i="7"/>
  <c r="O10" i="12"/>
  <c r="P9" i="7"/>
  <c r="O24" i="7"/>
  <c r="O21" i="7"/>
  <c r="O17" i="7"/>
  <c r="O14" i="7"/>
  <c r="P26" i="7" l="1"/>
  <c r="O16" i="12"/>
  <c r="P25" i="7"/>
  <c r="P10" i="12"/>
  <c r="Q9" i="7"/>
  <c r="P24" i="7"/>
  <c r="P21" i="7"/>
  <c r="P17" i="7"/>
  <c r="P14" i="7"/>
  <c r="Q26" i="7" l="1"/>
  <c r="P16" i="12"/>
  <c r="Q25" i="7"/>
  <c r="Q10" i="12"/>
  <c r="R9" i="7"/>
  <c r="Q24" i="7"/>
  <c r="Q17" i="7"/>
  <c r="Q14" i="7"/>
  <c r="Q21" i="7"/>
  <c r="R26" i="7" l="1"/>
  <c r="Q16" i="12"/>
  <c r="R25" i="7"/>
  <c r="R10" i="12"/>
  <c r="S9" i="7"/>
  <c r="R24" i="7"/>
  <c r="R17" i="7"/>
  <c r="R14" i="7"/>
  <c r="R21" i="7"/>
  <c r="S26" i="7" l="1"/>
  <c r="R16" i="12"/>
  <c r="S25" i="7"/>
  <c r="S10" i="12"/>
  <c r="T9" i="7"/>
  <c r="S24" i="7"/>
  <c r="S21" i="7"/>
  <c r="S17" i="7"/>
  <c r="S14" i="7"/>
  <c r="T26" i="7" l="1"/>
  <c r="S16" i="12"/>
  <c r="T25" i="7"/>
  <c r="T10" i="12"/>
  <c r="U9" i="7"/>
  <c r="T24" i="7"/>
  <c r="T21" i="7"/>
  <c r="T17" i="7"/>
  <c r="T14" i="7"/>
  <c r="U26" i="7" l="1"/>
  <c r="T16" i="12"/>
  <c r="U25" i="7"/>
  <c r="U10" i="12"/>
  <c r="V9" i="7"/>
  <c r="U21" i="7"/>
  <c r="U24" i="7"/>
  <c r="U17" i="7"/>
  <c r="U14" i="7"/>
  <c r="V26" i="7" l="1"/>
  <c r="U16" i="12"/>
  <c r="V25" i="7"/>
  <c r="V10" i="12"/>
  <c r="W9" i="7"/>
  <c r="V24" i="7"/>
  <c r="V17" i="7"/>
  <c r="V14" i="7"/>
  <c r="V21" i="7"/>
  <c r="W26" i="7" l="1"/>
  <c r="V16" i="12"/>
  <c r="W25" i="7"/>
  <c r="W10" i="12"/>
  <c r="X9" i="7"/>
  <c r="W24" i="7"/>
  <c r="W21" i="7"/>
  <c r="W17" i="7"/>
  <c r="W14" i="7"/>
  <c r="X26" i="7" l="1"/>
  <c r="W16" i="12"/>
  <c r="X25" i="7"/>
  <c r="X10" i="12"/>
  <c r="Y9" i="7"/>
  <c r="X24" i="7"/>
  <c r="X21" i="7"/>
  <c r="X17" i="7"/>
  <c r="X14" i="7"/>
  <c r="Y26" i="7" l="1"/>
  <c r="X16" i="12"/>
  <c r="Y25" i="7"/>
  <c r="Y10" i="12"/>
  <c r="Y17" i="7"/>
  <c r="Y14" i="7"/>
  <c r="Y24" i="7"/>
  <c r="Y21" i="7"/>
  <c r="Y16" i="12" l="1"/>
  <c r="F23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3" i="7" l="1"/>
  <c r="H23" i="7" l="1"/>
  <c r="I23" i="7" l="1"/>
  <c r="J23" i="7" l="1"/>
  <c r="K23" i="7" l="1"/>
  <c r="L23" i="7" l="1"/>
  <c r="M23" i="7" l="1"/>
  <c r="N23" i="7" l="1"/>
  <c r="O23" i="7" l="1"/>
  <c r="P23" i="7" l="1"/>
  <c r="Q23" i="7" l="1"/>
  <c r="F17" i="12" l="1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R18" i="7"/>
  <c r="R23" i="7"/>
  <c r="O18" i="7"/>
  <c r="J18" i="7"/>
  <c r="K18" i="7"/>
  <c r="G18" i="7"/>
  <c r="Q18" i="7"/>
  <c r="P18" i="7"/>
  <c r="F18" i="7"/>
  <c r="M18" i="7"/>
  <c r="L18" i="7"/>
  <c r="N18" i="7"/>
  <c r="I18" i="7"/>
  <c r="H18" i="7"/>
  <c r="F27" i="2"/>
  <c r="B25" i="4"/>
  <c r="R27" i="7" l="1"/>
  <c r="R12" i="14" s="1"/>
  <c r="R13" i="14" s="1"/>
  <c r="I53" i="7"/>
  <c r="I27" i="7"/>
  <c r="F53" i="7"/>
  <c r="F27" i="7"/>
  <c r="F12" i="14" s="1"/>
  <c r="K53" i="7"/>
  <c r="K27" i="7"/>
  <c r="K12" i="14" s="1"/>
  <c r="K13" i="14" s="1"/>
  <c r="N53" i="7"/>
  <c r="N27" i="7"/>
  <c r="P53" i="7"/>
  <c r="P27" i="7"/>
  <c r="J53" i="7"/>
  <c r="J27" i="7"/>
  <c r="J12" i="14" s="1"/>
  <c r="J13" i="14" s="1"/>
  <c r="H53" i="7"/>
  <c r="H27" i="7"/>
  <c r="H12" i="14" s="1"/>
  <c r="H13" i="14" s="1"/>
  <c r="M53" i="7"/>
  <c r="M27" i="7"/>
  <c r="M12" i="14" s="1"/>
  <c r="M13" i="14" s="1"/>
  <c r="G53" i="7"/>
  <c r="G27" i="7"/>
  <c r="G12" i="14" s="1"/>
  <c r="G13" i="14" s="1"/>
  <c r="L53" i="7"/>
  <c r="L27" i="7"/>
  <c r="L12" i="14" s="1"/>
  <c r="L13" i="14" s="1"/>
  <c r="Q53" i="7"/>
  <c r="Q27" i="7"/>
  <c r="O53" i="7"/>
  <c r="O27" i="7"/>
  <c r="R53" i="7"/>
  <c r="S23" i="7"/>
  <c r="F29" i="2"/>
  <c r="K23" i="4" l="1"/>
  <c r="K25" i="4" s="1"/>
  <c r="L25" i="4" s="1"/>
  <c r="E11" i="17"/>
  <c r="R28" i="7"/>
  <c r="Q28" i="7"/>
  <c r="Q12" i="14"/>
  <c r="Q13" i="14" s="1"/>
  <c r="N12" i="14"/>
  <c r="N13" i="14" s="1"/>
  <c r="N28" i="7"/>
  <c r="O12" i="14"/>
  <c r="O13" i="14" s="1"/>
  <c r="O28" i="7"/>
  <c r="P12" i="14"/>
  <c r="P13" i="14" s="1"/>
  <c r="P28" i="7"/>
  <c r="I12" i="14"/>
  <c r="I13" i="14" s="1"/>
  <c r="F13" i="14"/>
  <c r="E13" i="16"/>
  <c r="E11" i="16"/>
  <c r="E9" i="6"/>
  <c r="E11" i="7"/>
  <c r="S18" i="7"/>
  <c r="T18" i="7"/>
  <c r="T23" i="7"/>
  <c r="E51" i="17" l="1"/>
  <c r="E31" i="17"/>
  <c r="E37" i="17"/>
  <c r="E38" i="17" s="1"/>
  <c r="E39" i="7"/>
  <c r="E40" i="17"/>
  <c r="E30" i="7"/>
  <c r="E50" i="7"/>
  <c r="E36" i="7"/>
  <c r="T27" i="7"/>
  <c r="T12" i="14" s="1"/>
  <c r="T13" i="14" s="1"/>
  <c r="Q31" i="7"/>
  <c r="S27" i="7"/>
  <c r="S12" i="14" s="1"/>
  <c r="S13" i="14" s="1"/>
  <c r="P31" i="7"/>
  <c r="N31" i="7"/>
  <c r="O31" i="7"/>
  <c r="R31" i="7"/>
  <c r="T53" i="7"/>
  <c r="T54" i="7" s="1"/>
  <c r="S53" i="7"/>
  <c r="U23" i="7"/>
  <c r="E51" i="7" l="1"/>
  <c r="E52" i="7" s="1"/>
  <c r="E59" i="7" s="1"/>
  <c r="S54" i="7"/>
  <c r="T28" i="7"/>
  <c r="E41" i="17"/>
  <c r="E42" i="17" s="1"/>
  <c r="E52" i="17"/>
  <c r="E53" i="17" s="1"/>
  <c r="K55" i="17"/>
  <c r="Y55" i="17"/>
  <c r="V55" i="17"/>
  <c r="X55" i="17"/>
  <c r="M55" i="17"/>
  <c r="G55" i="17"/>
  <c r="W55" i="17"/>
  <c r="J55" i="17"/>
  <c r="L55" i="17"/>
  <c r="U55" i="17"/>
  <c r="N55" i="17"/>
  <c r="I55" i="17"/>
  <c r="R55" i="17"/>
  <c r="H55" i="17"/>
  <c r="F55" i="17"/>
  <c r="F56" i="17" s="1"/>
  <c r="O55" i="17"/>
  <c r="Q55" i="17"/>
  <c r="P55" i="17"/>
  <c r="T55" i="17"/>
  <c r="S55" i="17"/>
  <c r="S41" i="17"/>
  <c r="T41" i="17"/>
  <c r="Q41" i="17"/>
  <c r="M52" i="17"/>
  <c r="Q52" i="17"/>
  <c r="J41" i="17"/>
  <c r="X52" i="17"/>
  <c r="J52" i="17"/>
  <c r="U41" i="17"/>
  <c r="R52" i="17"/>
  <c r="S52" i="17"/>
  <c r="W41" i="17"/>
  <c r="X41" i="17"/>
  <c r="K41" i="17"/>
  <c r="L52" i="17"/>
  <c r="O52" i="17"/>
  <c r="R41" i="17"/>
  <c r="P52" i="17"/>
  <c r="N52" i="17"/>
  <c r="U52" i="17"/>
  <c r="L41" i="17"/>
  <c r="W52" i="17"/>
  <c r="Y52" i="17"/>
  <c r="T52" i="17"/>
  <c r="V52" i="17"/>
  <c r="V41" i="17"/>
  <c r="I52" i="17"/>
  <c r="K52" i="17"/>
  <c r="M41" i="17"/>
  <c r="I41" i="17"/>
  <c r="N41" i="17"/>
  <c r="O41" i="17"/>
  <c r="Y41" i="17"/>
  <c r="P41" i="17"/>
  <c r="O54" i="7"/>
  <c r="R54" i="7"/>
  <c r="P54" i="7"/>
  <c r="N54" i="7"/>
  <c r="G54" i="7"/>
  <c r="F54" i="7"/>
  <c r="F55" i="7" s="1"/>
  <c r="L54" i="7"/>
  <c r="M54" i="7"/>
  <c r="Q54" i="7"/>
  <c r="K54" i="7"/>
  <c r="J54" i="7"/>
  <c r="I54" i="7"/>
  <c r="H54" i="7"/>
  <c r="E37" i="7"/>
  <c r="E40" i="7"/>
  <c r="E41" i="7" s="1"/>
  <c r="S28" i="7"/>
  <c r="R33" i="7"/>
  <c r="O33" i="7"/>
  <c r="P33" i="7"/>
  <c r="N33" i="7"/>
  <c r="Q33" i="7"/>
  <c r="U18" i="7"/>
  <c r="E16" i="6"/>
  <c r="V18" i="7"/>
  <c r="V23" i="7"/>
  <c r="O30" i="7" l="1"/>
  <c r="O13" i="12"/>
  <c r="Q30" i="7"/>
  <c r="Q13" i="12"/>
  <c r="R30" i="7"/>
  <c r="R13" i="12"/>
  <c r="N30" i="7"/>
  <c r="N13" i="12"/>
  <c r="P30" i="7"/>
  <c r="P13" i="12"/>
  <c r="S31" i="7"/>
  <c r="S33" i="7" s="1"/>
  <c r="T31" i="7"/>
  <c r="T33" i="7" s="1"/>
  <c r="T34" i="7" s="1"/>
  <c r="T36" i="7" s="1"/>
  <c r="T40" i="7" s="1"/>
  <c r="G55" i="7"/>
  <c r="F60" i="7"/>
  <c r="E60" i="17"/>
  <c r="F61" i="17"/>
  <c r="G56" i="17"/>
  <c r="N34" i="7"/>
  <c r="N36" i="7" s="1"/>
  <c r="N40" i="7" s="1"/>
  <c r="Q34" i="7"/>
  <c r="Q36" i="7" s="1"/>
  <c r="Q40" i="7" s="1"/>
  <c r="O34" i="7"/>
  <c r="O36" i="7" s="1"/>
  <c r="O40" i="7" s="1"/>
  <c r="P34" i="7"/>
  <c r="P36" i="7" s="1"/>
  <c r="P40" i="7" s="1"/>
  <c r="R34" i="7"/>
  <c r="R36" i="7" s="1"/>
  <c r="R40" i="7" s="1"/>
  <c r="U53" i="7"/>
  <c r="U54" i="7" s="1"/>
  <c r="U27" i="7"/>
  <c r="V53" i="7"/>
  <c r="V54" i="7" s="1"/>
  <c r="V27" i="7"/>
  <c r="V12" i="14" s="1"/>
  <c r="V13" i="14" s="1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2" i="17" s="1"/>
  <c r="E22" i="6"/>
  <c r="E17" i="6"/>
  <c r="E18" i="6"/>
  <c r="E19" i="6"/>
  <c r="E21" i="6"/>
  <c r="E23" i="6"/>
  <c r="E20" i="6"/>
  <c r="W23" i="7"/>
  <c r="T30" i="7" l="1"/>
  <c r="S30" i="7"/>
  <c r="S13" i="12"/>
  <c r="T13" i="12"/>
  <c r="F29" i="17"/>
  <c r="G61" i="17"/>
  <c r="H56" i="17"/>
  <c r="H55" i="7"/>
  <c r="G60" i="7"/>
  <c r="S34" i="7"/>
  <c r="S36" i="7" s="1"/>
  <c r="S40" i="7" s="1"/>
  <c r="V28" i="7"/>
  <c r="U12" i="14"/>
  <c r="U28" i="7"/>
  <c r="F21" i="7"/>
  <c r="W18" i="7"/>
  <c r="C14" i="6"/>
  <c r="D14" i="6" s="1"/>
  <c r="G22" i="17" s="1"/>
  <c r="X23" i="7"/>
  <c r="F51" i="17" l="1"/>
  <c r="F52" i="17" s="1"/>
  <c r="F53" i="17" s="1"/>
  <c r="F32" i="17"/>
  <c r="H60" i="7"/>
  <c r="I55" i="7"/>
  <c r="G29" i="17"/>
  <c r="H61" i="17"/>
  <c r="I56" i="17"/>
  <c r="U31" i="7"/>
  <c r="V31" i="7"/>
  <c r="W53" i="7"/>
  <c r="W54" i="7" s="1"/>
  <c r="W27" i="7"/>
  <c r="U13" i="14"/>
  <c r="G21" i="7"/>
  <c r="C15" i="6"/>
  <c r="D15" i="6" s="1"/>
  <c r="H22" i="17" s="1"/>
  <c r="X18" i="7"/>
  <c r="Y23" i="7"/>
  <c r="G51" i="17" l="1"/>
  <c r="G52" i="17" s="1"/>
  <c r="G53" i="17" s="1"/>
  <c r="G32" i="17"/>
  <c r="F34" i="17"/>
  <c r="F31" i="17" s="1"/>
  <c r="I61" i="17"/>
  <c r="J56" i="17"/>
  <c r="F60" i="17"/>
  <c r="F57" i="17"/>
  <c r="H29" i="17"/>
  <c r="J55" i="7"/>
  <c r="I60" i="7"/>
  <c r="U33" i="7"/>
  <c r="V33" i="7"/>
  <c r="W12" i="14"/>
  <c r="W28" i="7"/>
  <c r="X53" i="7"/>
  <c r="X54" i="7" s="1"/>
  <c r="X27" i="7"/>
  <c r="G28" i="7"/>
  <c r="C16" i="6"/>
  <c r="D16" i="6" s="1"/>
  <c r="H21" i="7"/>
  <c r="Y18" i="7"/>
  <c r="U30" i="7" l="1"/>
  <c r="U13" i="12"/>
  <c r="V30" i="7"/>
  <c r="V13" i="12"/>
  <c r="F35" i="17"/>
  <c r="F37" i="17" s="1"/>
  <c r="F41" i="17" s="1"/>
  <c r="F42" i="17" s="1"/>
  <c r="H51" i="17"/>
  <c r="H52" i="17" s="1"/>
  <c r="H53" i="17" s="1"/>
  <c r="H32" i="17"/>
  <c r="J61" i="17"/>
  <c r="K56" i="17"/>
  <c r="K55" i="7"/>
  <c r="J60" i="7"/>
  <c r="G34" i="17"/>
  <c r="G31" i="17" s="1"/>
  <c r="G60" i="17"/>
  <c r="G57" i="17"/>
  <c r="V34" i="7"/>
  <c r="V36" i="7" s="1"/>
  <c r="V40" i="7" s="1"/>
  <c r="G50" i="7"/>
  <c r="G51" i="7" s="1"/>
  <c r="G31" i="7"/>
  <c r="W31" i="7"/>
  <c r="Y27" i="7"/>
  <c r="Y12" i="14" s="1"/>
  <c r="Y13" i="14" s="1"/>
  <c r="U34" i="7"/>
  <c r="U36" i="7" s="1"/>
  <c r="U40" i="7" s="1"/>
  <c r="W13" i="14"/>
  <c r="H28" i="7"/>
  <c r="X12" i="14"/>
  <c r="X13" i="14" s="1"/>
  <c r="X28" i="7"/>
  <c r="C17" i="6"/>
  <c r="D17" i="6" s="1"/>
  <c r="I21" i="7"/>
  <c r="I28" i="7" s="1"/>
  <c r="Y53" i="7"/>
  <c r="Y54" i="7" s="1"/>
  <c r="C18" i="6"/>
  <c r="D18" i="6" s="1"/>
  <c r="F38" i="17" l="1"/>
  <c r="Y28" i="7"/>
  <c r="K61" i="17"/>
  <c r="L56" i="17"/>
  <c r="I53" i="17"/>
  <c r="H60" i="17"/>
  <c r="H57" i="17"/>
  <c r="L55" i="7"/>
  <c r="K60" i="7"/>
  <c r="H34" i="17"/>
  <c r="H31" i="17" s="1"/>
  <c r="E46" i="17" s="1" a="1"/>
  <c r="E46" i="17" s="1"/>
  <c r="G35" i="17"/>
  <c r="G37" i="17" s="1"/>
  <c r="H31" i="7"/>
  <c r="G33" i="7"/>
  <c r="I31" i="7"/>
  <c r="W33" i="7"/>
  <c r="X31" i="7"/>
  <c r="H50" i="7"/>
  <c r="H51" i="7" s="1"/>
  <c r="E15" i="14"/>
  <c r="J21" i="7"/>
  <c r="J28" i="7" s="1"/>
  <c r="K21" i="7"/>
  <c r="I50" i="7"/>
  <c r="I51" i="7" s="1"/>
  <c r="C19" i="6"/>
  <c r="D19" i="6" s="1"/>
  <c r="W30" i="7" l="1"/>
  <c r="W13" i="12"/>
  <c r="Y31" i="7"/>
  <c r="Y33" i="7" s="1"/>
  <c r="Y34" i="7" s="1"/>
  <c r="Y36" i="7" s="1"/>
  <c r="Y40" i="7" s="1"/>
  <c r="G30" i="7"/>
  <c r="G13" i="12"/>
  <c r="G14" i="12" s="1"/>
  <c r="H35" i="17"/>
  <c r="H37" i="17" s="1"/>
  <c r="H41" i="17" s="1"/>
  <c r="M55" i="7"/>
  <c r="L60" i="7"/>
  <c r="L61" i="17"/>
  <c r="M56" i="17"/>
  <c r="G41" i="17"/>
  <c r="G42" i="17" s="1"/>
  <c r="G38" i="17"/>
  <c r="J53" i="17"/>
  <c r="I60" i="17"/>
  <c r="I57" i="17"/>
  <c r="W34" i="7"/>
  <c r="W36" i="7" s="1"/>
  <c r="W40" i="7" s="1"/>
  <c r="X33" i="7"/>
  <c r="G34" i="7"/>
  <c r="G36" i="7" s="1"/>
  <c r="G40" i="7" s="1"/>
  <c r="J31" i="7"/>
  <c r="I33" i="7"/>
  <c r="H33" i="7"/>
  <c r="J50" i="7"/>
  <c r="J51" i="7" s="1"/>
  <c r="K28" i="7"/>
  <c r="L21" i="7"/>
  <c r="C20" i="6"/>
  <c r="D20" i="6" s="1"/>
  <c r="Y13" i="12" l="1"/>
  <c r="Y30" i="7"/>
  <c r="H38" i="17"/>
  <c r="I38" i="17" s="1"/>
  <c r="J38" i="17" s="1"/>
  <c r="K38" i="17" s="1"/>
  <c r="L38" i="17" s="1"/>
  <c r="M38" i="17" s="1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H30" i="7"/>
  <c r="H13" i="12"/>
  <c r="H14" i="12" s="1"/>
  <c r="X30" i="7"/>
  <c r="X13" i="12"/>
  <c r="E44" i="17"/>
  <c r="E17" i="16" s="1"/>
  <c r="E45" i="17"/>
  <c r="E18" i="16" s="1"/>
  <c r="I30" i="7"/>
  <c r="I13" i="12"/>
  <c r="I14" i="12" s="1"/>
  <c r="H42" i="17"/>
  <c r="I42" i="17" s="1"/>
  <c r="J42" i="17" s="1"/>
  <c r="K42" i="17" s="1"/>
  <c r="L42" i="17" s="1"/>
  <c r="M42" i="17" s="1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Y42" i="17" s="1"/>
  <c r="K53" i="17"/>
  <c r="J60" i="17"/>
  <c r="J57" i="17"/>
  <c r="M61" i="17"/>
  <c r="N56" i="17"/>
  <c r="M60" i="7"/>
  <c r="N55" i="7"/>
  <c r="H34" i="7"/>
  <c r="H36" i="7" s="1"/>
  <c r="H40" i="7" s="1"/>
  <c r="I34" i="7"/>
  <c r="I36" i="7" s="1"/>
  <c r="I40" i="7" s="1"/>
  <c r="K31" i="7"/>
  <c r="J33" i="7"/>
  <c r="X34" i="7"/>
  <c r="X36" i="7" s="1"/>
  <c r="X40" i="7" s="1"/>
  <c r="K50" i="7"/>
  <c r="K51" i="7" s="1"/>
  <c r="L28" i="7"/>
  <c r="M21" i="7"/>
  <c r="C21" i="6"/>
  <c r="D21" i="6" s="1"/>
  <c r="E48" i="17" l="1" a="1"/>
  <c r="E48" i="17" s="1"/>
  <c r="E47" i="17" a="1"/>
  <c r="E47" i="17" s="1"/>
  <c r="E37" i="13"/>
  <c r="J30" i="7"/>
  <c r="J13" i="12"/>
  <c r="J14" i="12" s="1"/>
  <c r="D37" i="13"/>
  <c r="O55" i="7"/>
  <c r="N60" i="7"/>
  <c r="N61" i="17"/>
  <c r="O56" i="17"/>
  <c r="L53" i="17"/>
  <c r="K60" i="17"/>
  <c r="K57" i="17"/>
  <c r="K33" i="7"/>
  <c r="L31" i="7"/>
  <c r="J34" i="7"/>
  <c r="J36" i="7" s="1"/>
  <c r="J40" i="7" s="1"/>
  <c r="L50" i="7"/>
  <c r="L51" i="7" s="1"/>
  <c r="M28" i="7"/>
  <c r="C22" i="6"/>
  <c r="D22" i="6" s="1"/>
  <c r="K30" i="7" l="1"/>
  <c r="K13" i="12"/>
  <c r="K14" i="12" s="1"/>
  <c r="M53" i="17"/>
  <c r="L60" i="17"/>
  <c r="L57" i="17"/>
  <c r="O61" i="17"/>
  <c r="P56" i="17"/>
  <c r="O60" i="7"/>
  <c r="P55" i="7"/>
  <c r="K34" i="7"/>
  <c r="K36" i="7" s="1"/>
  <c r="K40" i="7" s="1"/>
  <c r="M31" i="7"/>
  <c r="L33" i="7"/>
  <c r="M50" i="7"/>
  <c r="M51" i="7" s="1"/>
  <c r="N14" i="12"/>
  <c r="N50" i="7"/>
  <c r="N51" i="7" s="1"/>
  <c r="C23" i="6"/>
  <c r="L30" i="7" l="1"/>
  <c r="L13" i="12"/>
  <c r="L14" i="12" s="1"/>
  <c r="P61" i="17"/>
  <c r="Q56" i="17"/>
  <c r="P60" i="7"/>
  <c r="Q55" i="7"/>
  <c r="N53" i="17"/>
  <c r="M60" i="17"/>
  <c r="M57" i="17"/>
  <c r="L34" i="7"/>
  <c r="L36" i="7" s="1"/>
  <c r="L40" i="7" s="1"/>
  <c r="M33" i="7"/>
  <c r="O14" i="12"/>
  <c r="O50" i="7"/>
  <c r="O51" i="7" s="1"/>
  <c r="D23" i="6"/>
  <c r="M30" i="7" l="1"/>
  <c r="M13" i="12"/>
  <c r="M14" i="12" s="1"/>
  <c r="Q61" i="17"/>
  <c r="R56" i="17"/>
  <c r="R55" i="7"/>
  <c r="S55" i="7" s="1"/>
  <c r="Q60" i="7"/>
  <c r="O53" i="17"/>
  <c r="N60" i="17"/>
  <c r="N57" i="17"/>
  <c r="M34" i="7"/>
  <c r="M36" i="7" s="1"/>
  <c r="M40" i="7" s="1"/>
  <c r="C24" i="6"/>
  <c r="P53" i="17" l="1"/>
  <c r="O60" i="17"/>
  <c r="O57" i="17"/>
  <c r="S60" i="7"/>
  <c r="T55" i="7"/>
  <c r="R61" i="17"/>
  <c r="S56" i="17"/>
  <c r="R60" i="7"/>
  <c r="P14" i="12"/>
  <c r="D24" i="6"/>
  <c r="P50" i="7"/>
  <c r="P51" i="7" s="1"/>
  <c r="S61" i="17" l="1"/>
  <c r="T56" i="17"/>
  <c r="T60" i="7"/>
  <c r="U55" i="7"/>
  <c r="Q53" i="17"/>
  <c r="P60" i="17"/>
  <c r="P57" i="17"/>
  <c r="C25" i="6"/>
  <c r="D25" i="6" s="1"/>
  <c r="T61" i="17" l="1"/>
  <c r="U56" i="17"/>
  <c r="R53" i="17"/>
  <c r="Q60" i="17"/>
  <c r="Q57" i="17"/>
  <c r="V55" i="7"/>
  <c r="U60" i="7"/>
  <c r="Q50" i="7"/>
  <c r="Q51" i="7" s="1"/>
  <c r="Q14" i="12"/>
  <c r="C26" i="6"/>
  <c r="D26" i="6"/>
  <c r="S53" i="17" l="1"/>
  <c r="R60" i="17"/>
  <c r="R57" i="17"/>
  <c r="W55" i="7"/>
  <c r="V60" i="7"/>
  <c r="U61" i="17"/>
  <c r="V56" i="17"/>
  <c r="R14" i="12"/>
  <c r="R50" i="7"/>
  <c r="R51" i="7" s="1"/>
  <c r="C27" i="6"/>
  <c r="D27" i="6" s="1"/>
  <c r="V61" i="17" l="1"/>
  <c r="W56" i="17"/>
  <c r="X55" i="7"/>
  <c r="W60" i="7"/>
  <c r="T53" i="17"/>
  <c r="S60" i="17"/>
  <c r="S57" i="17"/>
  <c r="S14" i="12"/>
  <c r="C28" i="6"/>
  <c r="S50" i="7"/>
  <c r="S51" i="7" s="1"/>
  <c r="U53" i="17" l="1"/>
  <c r="T60" i="17"/>
  <c r="T57" i="17"/>
  <c r="Y55" i="7"/>
  <c r="Y60" i="7" s="1"/>
  <c r="X60" i="7"/>
  <c r="W61" i="17"/>
  <c r="X56" i="17"/>
  <c r="T14" i="12"/>
  <c r="D28" i="6"/>
  <c r="T50" i="7"/>
  <c r="T51" i="7" s="1"/>
  <c r="X61" i="17" l="1"/>
  <c r="Y56" i="17"/>
  <c r="V53" i="17"/>
  <c r="U60" i="17"/>
  <c r="U57" i="17"/>
  <c r="C29" i="6"/>
  <c r="W53" i="17" l="1"/>
  <c r="V60" i="17"/>
  <c r="V57" i="17"/>
  <c r="Y61" i="17"/>
  <c r="U14" i="12"/>
  <c r="U50" i="7"/>
  <c r="U51" i="7" s="1"/>
  <c r="D29" i="6"/>
  <c r="X53" i="17" l="1"/>
  <c r="W60" i="17"/>
  <c r="W57" i="17"/>
  <c r="C30" i="6"/>
  <c r="D30" i="6" s="1"/>
  <c r="Y53" i="17" l="1"/>
  <c r="X60" i="17"/>
  <c r="X57" i="17"/>
  <c r="V14" i="12"/>
  <c r="V50" i="7"/>
  <c r="V51" i="7" s="1"/>
  <c r="C31" i="6"/>
  <c r="D31" i="6" s="1"/>
  <c r="Y60" i="17" l="1"/>
  <c r="Y57" i="17"/>
  <c r="W14" i="12"/>
  <c r="W50" i="7"/>
  <c r="W51" i="7" s="1"/>
  <c r="C32" i="6"/>
  <c r="D32" i="6" s="1"/>
  <c r="X14" i="12" l="1"/>
  <c r="X50" i="7"/>
  <c r="X51" i="7" s="1"/>
  <c r="Y14" i="12" l="1"/>
  <c r="Y50" i="7"/>
  <c r="Y51" i="7" s="1"/>
  <c r="F28" i="7" l="1"/>
  <c r="F50" i="7" s="1"/>
  <c r="F51" i="7" s="1"/>
  <c r="F52" i="7" s="1"/>
  <c r="G52" i="7" l="1"/>
  <c r="F56" i="7"/>
  <c r="F59" i="7"/>
  <c r="F31" i="7"/>
  <c r="F33" i="7" l="1"/>
  <c r="F34" i="7"/>
  <c r="F36" i="7" s="1"/>
  <c r="G59" i="7"/>
  <c r="G56" i="7"/>
  <c r="H52" i="7"/>
  <c r="F40" i="7" l="1"/>
  <c r="F41" i="7" s="1"/>
  <c r="E43" i="7"/>
  <c r="E44" i="7"/>
  <c r="F37" i="7"/>
  <c r="H56" i="7"/>
  <c r="I52" i="7"/>
  <c r="H59" i="7"/>
  <c r="F13" i="12"/>
  <c r="F14" i="12" s="1"/>
  <c r="F30" i="7"/>
  <c r="E45" i="7" s="1" a="1"/>
  <c r="E45" i="7" s="1"/>
  <c r="E16" i="16" l="1"/>
  <c r="C37" i="13"/>
  <c r="J52" i="7"/>
  <c r="I56" i="7"/>
  <c r="I59" i="7"/>
  <c r="E15" i="16"/>
  <c r="B37" i="13"/>
  <c r="E20" i="12"/>
  <c r="E19" i="12"/>
  <c r="E14" i="16" s="1"/>
  <c r="G37" i="7"/>
  <c r="H37" i="7" s="1"/>
  <c r="I37" i="7" s="1"/>
  <c r="J37" i="7" s="1"/>
  <c r="K37" i="7" s="1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G41" i="7"/>
  <c r="H41" i="7" s="1"/>
  <c r="I41" i="7" s="1"/>
  <c r="J41" i="7" s="1"/>
  <c r="K41" i="7" s="1"/>
  <c r="L41" i="7" s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E46" i="7" l="1" a="1"/>
  <c r="E46" i="7" s="1"/>
  <c r="E47" i="7" a="1"/>
  <c r="E47" i="7" s="1"/>
  <c r="J59" i="7"/>
  <c r="K52" i="7"/>
  <c r="J56" i="7"/>
  <c r="K56" i="7" l="1"/>
  <c r="L52" i="7"/>
  <c r="K59" i="7"/>
  <c r="M52" i="7" l="1"/>
  <c r="L56" i="7"/>
  <c r="L59" i="7"/>
  <c r="N52" i="7" l="1"/>
  <c r="M56" i="7"/>
  <c r="M59" i="7"/>
  <c r="O52" i="7" l="1"/>
  <c r="N59" i="7"/>
  <c r="N56" i="7"/>
  <c r="O59" i="7" l="1"/>
  <c r="P52" i="7"/>
  <c r="O56" i="7"/>
  <c r="P59" i="7" l="1"/>
  <c r="P56" i="7"/>
  <c r="Q52" i="7"/>
  <c r="R52" i="7" l="1"/>
  <c r="Q56" i="7"/>
  <c r="Q59" i="7"/>
  <c r="R56" i="7" l="1"/>
  <c r="S52" i="7"/>
  <c r="R59" i="7"/>
  <c r="S59" i="7" l="1"/>
  <c r="T52" i="7"/>
  <c r="S56" i="7"/>
  <c r="U52" i="7" l="1"/>
  <c r="T59" i="7"/>
  <c r="T56" i="7"/>
  <c r="V52" i="7" l="1"/>
  <c r="U56" i="7"/>
  <c r="U59" i="7"/>
  <c r="W52" i="7" l="1"/>
  <c r="V56" i="7"/>
  <c r="V59" i="7"/>
  <c r="W56" i="7" l="1"/>
  <c r="X52" i="7"/>
  <c r="W59" i="7"/>
  <c r="Y52" i="7" l="1"/>
  <c r="X56" i="7"/>
  <c r="X59" i="7"/>
  <c r="Y59" i="7" l="1"/>
  <c r="Y5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<sst xmlns="http://schemas.openxmlformats.org/spreadsheetml/2006/main" count="299" uniqueCount="182">
  <si>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</si>
  <si>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</si>
  <si>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</si>
  <si>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</si>
  <si>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</si>
  <si>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</si>
  <si>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</si>
  <si>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</si>
  <si>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</si>
  <si>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</si>
  <si>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</si>
  <si>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</si>
  <si>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</si>
  <si>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</si>
  <si>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</si>
  <si>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</si>
  <si>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</si>
  <si>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</si>
  <si>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</si>
  <si>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</si>
  <si>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</si>
  <si>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</si>
  <si>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</si>
  <si>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</si>
  <si>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</si>
  <si>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</si>
  <si>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</si>
  <si>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</si>
  <si>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</si>
  <si>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</si>
  <si>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</si>
  <si>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</si>
  <si>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</si>
  <si>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</si>
  <si>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</si>
  <si>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</si>
  <si>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</si>
  <si>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</si>
  <si>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</si>
  <si>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</si>
  <si>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</si>
  <si>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</si>
  <si>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</si>
  <si>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</si>
  <si>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</si>
  <si>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</si>
  <si>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</si>
  <si>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</si>
  <si>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</si>
  <si>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</si>
  <si>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</si>
  <si>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</si>
  <si>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</si>
  <si>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</si>
  <si>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</si>
  <si>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</si>
  <si>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</si>
  <si>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</si>
  <si>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</si>
  <si>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</si>
  <si>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</si>
  <si>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</si>
  <si>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</si>
  <si>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</si>
  <si>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</si>
  <si>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</si>
  <si>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</si>
  <si>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</si>
  <si>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</si>
  <si>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</si>
  <si>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</si>
  <si>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</si>
  <si>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</si>
  <si>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</si>
  <si>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</si>
  <si>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</si>
  <si>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</si>
  <si>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</si>
  <si>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</si>
  <si>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</si>
  <si>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Prosečan prečnik sekcije koja se rekonstruiše</t>
  </si>
  <si>
    <t>Stepen oštećenja termičke izolacije</t>
  </si>
  <si>
    <t>Ušteda energije</t>
  </si>
  <si>
    <t>Ušteda u novcu</t>
  </si>
  <si>
    <t>RSD/MWh</t>
  </si>
  <si>
    <t>-</t>
  </si>
  <si>
    <t>m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</si>
  <si>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</si>
  <si>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</si>
  <si>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</si>
  <si>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</si>
  <si>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</si>
  <si>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</si>
  <si>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</si>
  <si>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</si>
  <si>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</si>
  <si>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</si>
  <si>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</si>
  <si>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</si>
  <si>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</si>
  <si>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</si>
  <si>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</si>
  <si>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</si>
  <si>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</si>
  <si>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Ostali troškovi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</si>
  <si>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</si>
  <si>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</si>
  <si>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</si>
  <si>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</si>
  <si>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</si>
  <si>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</si>
  <si>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</si>
  <si>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</si>
  <si>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</si>
  <si>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</si>
  <si>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</si>
  <si>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</si>
  <si>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</si>
  <si>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</si>
  <si>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</si>
  <si>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</si>
  <si>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</si>
  <si>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</si>
  <si>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Nabavka materijala za termičku izolaciju</t>
  </si>
  <si>
    <t>Postavljanje termičke izolacije</t>
  </si>
  <si>
    <t>Dužina cevi</t>
  </si>
  <si>
    <t>Gubici u distribuciji</t>
  </si>
  <si>
    <t>NAZAD</t>
  </si>
  <si>
    <t>DALJE</t>
  </si>
  <si>
    <t>Miks goriva</t>
  </si>
  <si>
    <t>Udeo u troškovima ako gradi ESCO (EUR/a)</t>
  </si>
  <si>
    <t>ESCO INVESTICIJA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</si>
  <si>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</si>
  <si>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</si>
  <si>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</si>
  <si>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</si>
  <si>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</si>
  <si>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Projekat</t>
  </si>
  <si>
    <t>Investiciona vrednost (EUR)</t>
  </si>
  <si>
    <t>Subvencije (EUR)</t>
  </si>
  <si>
    <t>LCoE(EE) (EUR/MWh)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</si>
  <si>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</si>
  <si>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</si>
  <si>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</si>
  <si>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</si>
  <si>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</si>
  <si>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</si>
  <si>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</si>
  <si>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</si>
  <si>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</si>
  <si>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</si>
  <si>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</si>
  <si>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</si>
  <si>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</si>
  <si>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</si>
  <si>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</si>
  <si>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</si>
  <si>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</si>
  <si>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</si>
  <si>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</si>
  <si>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</si>
  <si>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</si>
  <si>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</si>
  <si>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</si>
  <si>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</si>
  <si>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</si>
  <si>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</si>
  <si>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</si>
  <si>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</si>
  <si>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</si>
  <si>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</si>
  <si>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</si>
  <si>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</si>
  <si>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</si>
  <si>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</si>
  <si>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</si>
  <si>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Cena toplote</t>
  </si>
  <si>
    <t>NPV = 0</t>
  </si>
  <si>
    <t>Investicije</t>
  </si>
  <si>
    <t>Dužina cevi i stepen oštećenja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</si>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</sst>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0_ ;[Red]\-#,##0.00\ "/>
    <numFmt numFmtId="166" formatCode="#,##0_ ;[Red]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73">
    <xf numFmtId="0" fontId="0" fillId="0" borderId="0" xfId="0"/>
    <xf numFmtId="0" fontId="1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2" borderId="0" xfId="0" applyNumberFormat="1" applyFill="1"/>
    <xf numFmtId="2" fontId="0" fillId="2" borderId="0" xfId="0" applyNumberFormat="1" applyFill="1"/>
    <xf numFmtId="4" fontId="0" fillId="8" borderId="0" xfId="0" applyNumberFormat="1" applyFill="1"/>
    <xf numFmtId="3" fontId="0" fillId="8" borderId="0" xfId="0" applyNumberFormat="1" applyFill="1"/>
    <xf numFmtId="4" fontId="2" fillId="5" borderId="0" xfId="0" applyNumberFormat="1" applyFont="1" applyFill="1"/>
    <xf numFmtId="0" fontId="2" fillId="5" borderId="0" xfId="0" applyFont="1" applyFill="1" applyAlignment="1">
      <alignment horizontal="right"/>
    </xf>
    <xf numFmtId="3" fontId="2" fillId="5" borderId="0" xfId="0" applyNumberFormat="1" applyFont="1" applyFill="1"/>
    <xf numFmtId="10" fontId="2" fillId="5" borderId="0" xfId="0" applyNumberFormat="1" applyFont="1" applyFill="1"/>
    <xf numFmtId="2" fontId="0" fillId="0" borderId="0" xfId="0" applyNumberFormat="1"/>
    <xf numFmtId="0" fontId="0" fillId="2" borderId="0" xfId="0" applyFill="1"/>
    <xf numFmtId="0" fontId="0" fillId="6" borderId="0" xfId="0" applyFill="1"/>
    <xf numFmtId="4" fontId="0" fillId="6" borderId="0" xfId="0" applyNumberFormat="1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5" fontId="0" fillId="11" borderId="0" xfId="0" applyNumberFormat="1" applyFill="1"/>
    <xf numFmtId="10" fontId="0" fillId="11" borderId="0" xfId="0" applyNumberFormat="1" applyFill="1"/>
    <xf numFmtId="165" fontId="0" fillId="11" borderId="0" xfId="0" applyNumberFormat="1" applyFill="1" applyAlignment="1">
      <alignment horizontal="right"/>
    </xf>
    <xf numFmtId="0" fontId="0" fillId="11" borderId="0" xfId="0" applyFill="1"/>
    <xf numFmtId="0" fontId="11" fillId="0" borderId="1" xfId="0" applyFont="1" applyBorder="1" applyAlignment="1">
      <alignment horizontal="centerContinuous"/>
    </xf>
    <xf numFmtId="0" fontId="11" fillId="0" borderId="2" xfId="0" applyFont="1" applyBorder="1" applyAlignment="1">
      <alignment horizontal="centerContinuous"/>
    </xf>
    <xf numFmtId="0" fontId="11" fillId="0" borderId="3" xfId="0" applyFont="1" applyBorder="1" applyAlignment="1">
      <alignment horizontal="center"/>
    </xf>
    <xf numFmtId="0" fontId="11" fillId="0" borderId="0" xfId="0" applyFont="1"/>
    <xf numFmtId="166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6" fontId="0" fillId="0" borderId="0" xfId="2" applyNumberFormat="1" applyFont="1"/>
    <xf numFmtId="0" fontId="9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8" fillId="9" borderId="0" xfId="1" applyFont="1" applyFill="1" applyAlignment="1" applyProtection="1">
      <alignment horizontal="center" vertical="distributed"/>
      <protection locked="0"/>
    </xf>
    <xf numFmtId="0" fontId="8" fillId="10" borderId="0" xfId="1" applyFont="1" applyFill="1" applyAlignment="1" applyProtection="1">
      <alignment horizontal="center" vertical="distributed"/>
      <protection locked="0"/>
    </xf>
    <xf numFmtId="0" fontId="2" fillId="5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3" fillId="5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0" fontId="1" fillId="5" borderId="0" xfId="0" applyFont="1" applyFill="1" applyAlignment="1">
      <alignment horizontal="left"/>
    </xf>
    <xf numFmtId="4" fontId="0" fillId="0" borderId="0" xfId="0" applyNumberFormat="1" applyAlignment="1">
      <alignment horizontal="center" vertical="distributed"/>
    </xf>
    <xf numFmtId="9" fontId="0" fillId="0" borderId="0" xfId="0" applyNumberFormat="1" applyAlignment="1">
      <alignment horizontal="center" vertical="distributed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-111961.14979116127</c:v>
                </c:pt>
                <c:pt idx="2">
                  <c:v>-130543.31890255943</c:v>
                </c:pt>
                <c:pt idx="3">
                  <c:v>-147336.9813383554</c:v>
                </c:pt>
                <c:pt idx="4">
                  <c:v>-142682.95188165404</c:v>
                </c:pt>
                <c:pt idx="5">
                  <c:v>-138476.8659724395</c:v>
                </c:pt>
                <c:pt idx="6">
                  <c:v>-134675.60969757437</c:v>
                </c:pt>
                <c:pt idx="7">
                  <c:v>-131240.21879518079</c:v>
                </c:pt>
                <c:pt idx="8">
                  <c:v>-128135.47925675873</c:v>
                </c:pt>
                <c:pt idx="9">
                  <c:v>-125329.56637076814</c:v>
                </c:pt>
                <c:pt idx="10">
                  <c:v>-122793.71850773945</c:v>
                </c:pt>
                <c:pt idx="11">
                  <c:v>-120501.94230309194</c:v>
                </c:pt>
                <c:pt idx="12">
                  <c:v>-118430.74621567542</c:v>
                </c:pt>
                <c:pt idx="13">
                  <c:v>-116558.89973091392</c:v>
                </c:pt>
                <c:pt idx="14">
                  <c:v>-114867.21574029552</c:v>
                </c:pt>
                <c:pt idx="15">
                  <c:v>-113338.35386651894</c:v>
                </c:pt>
                <c:pt idx="16">
                  <c:v>-111956.64271830786</c:v>
                </c:pt>
                <c:pt idx="17">
                  <c:v>-110707.91925294021</c:v>
                </c:pt>
                <c:pt idx="18">
                  <c:v>-109579.38359989964</c:v>
                </c:pt>
                <c:pt idx="19">
                  <c:v>-108559.46785753893</c:v>
                </c:pt>
                <c:pt idx="20">
                  <c:v>-107637.71751787305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11104"/>
        <c:axId val="-1515510560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7D-464B-94AC-E60846DC291A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10938.49022280158</c:v>
                </c:pt>
                <c:pt idx="2">
                  <c:v>20824.166715020463</c:v>
                </c:pt>
                <c:pt idx="3">
                  <c:v>29758.36126273741</c:v>
                </c:pt>
                <c:pt idx="4">
                  <c:v>37832.652615411382</c:v>
                </c:pt>
                <c:pt idx="5">
                  <c:v>45129.805201429939</c:v>
                </c:pt>
                <c:pt idx="6">
                  <c:v>51724.617493657046</c:v>
                </c:pt>
                <c:pt idx="7">
                  <c:v>57684.688721034167</c:v>
                </c:pt>
                <c:pt idx="8">
                  <c:v>63071.111785307992</c:v>
                </c:pt>
                <c:pt idx="9">
                  <c:v>67939.099485533705</c:v>
                </c:pt>
                <c:pt idx="10">
                  <c:v>72338.550469383161</c:v>
                </c:pt>
                <c:pt idx="11">
                  <c:v>76314.560712465012</c:v>
                </c:pt>
                <c:pt idx="12">
                  <c:v>79907.885768506312</c:v>
                </c:pt>
                <c:pt idx="13">
                  <c:v>83155.358528628276</c:v>
                </c:pt>
                <c:pt idx="14">
                  <c:v>86090.266771901035</c:v>
                </c:pt>
                <c:pt idx="15">
                  <c:v>88742.694377208158</c:v>
                </c:pt>
                <c:pt idx="16">
                  <c:v>91139.829693966822</c:v>
                </c:pt>
                <c:pt idx="17">
                  <c:v>93306.244232615965</c:v>
                </c:pt>
                <c:pt idx="18">
                  <c:v>95264.144531551356</c:v>
                </c:pt>
                <c:pt idx="19">
                  <c:v>97033.599782235542</c:v>
                </c:pt>
                <c:pt idx="20">
                  <c:v>98632.747545722945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11104"/>
        <c:axId val="-1515510560"/>
      </c:lineChart>
      <c:catAx>
        <c:axId val="-151551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0560"/>
        <c:crosses val="autoZero"/>
        <c:auto val="1"/>
        <c:lblAlgn val="ctr"/>
        <c:lblOffset val="100"/>
        <c:noMultiLvlLbl val="0"/>
      </c:catAx>
      <c:valAx>
        <c:axId val="-151551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4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'FinInd+CO2'!$F$57:$Y$57</c:f>
              <c:numCache>
                <c:formatCode>#,##0.00</c:formatCode>
                <c:ptCount val="20"/>
                <c:pt idx="0">
                  <c:v>-107729.26770998482</c:v>
                </c:pt>
                <c:pt idx="1">
                  <c:v>-122486.86721848458</c:v>
                </c:pt>
                <c:pt idx="2">
                  <c:v>-135824.06929767533</c:v>
                </c:pt>
                <c:pt idx="3">
                  <c:v>-128046.25875257916</c:v>
                </c:pt>
                <c:pt idx="4">
                  <c:v>-121017.05112881475</c:v>
                </c:pt>
                <c:pt idx="5">
                  <c:v>-114664.39448701215</c:v>
                </c:pt>
                <c:pt idx="6">
                  <c:v>-108923.17178188074</c:v>
                </c:pt>
                <c:pt idx="7">
                  <c:v>-103734.53338876853</c:v>
                </c:pt>
                <c:pt idx="8">
                  <c:v>-99045.293873566377</c:v>
                </c:pt>
                <c:pt idx="9">
                  <c:v>-94807.386822629211</c:v>
                </c:pt>
                <c:pt idx="10">
                  <c:v>-90977.372144522378</c:v>
                </c:pt>
                <c:pt idx="11">
                  <c:v>-87515.990793256089</c:v>
                </c:pt>
                <c:pt idx="12">
                  <c:v>-84387.762348759294</c:v>
                </c:pt>
                <c:pt idx="13">
                  <c:v>-81560.621329645961</c:v>
                </c:pt>
                <c:pt idx="14">
                  <c:v>-79005.588510347239</c:v>
                </c:pt>
                <c:pt idx="15">
                  <c:v>-76696.473873490162</c:v>
                </c:pt>
                <c:pt idx="16">
                  <c:v>-74609.608152676825</c:v>
                </c:pt>
                <c:pt idx="17">
                  <c:v>-72723.600213879399</c:v>
                </c:pt>
                <c:pt idx="18">
                  <c:v>-71019.117788522097</c:v>
                </c:pt>
                <c:pt idx="19">
                  <c:v>-69478.689310684218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07840"/>
        <c:axId val="-1515503488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4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65-49C3-A497-5A0A15D5CF1E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4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'FinInd+CO2'!$F$61:$Y$61</c:f>
              <c:numCache>
                <c:formatCode>#,##0.00</c:formatCode>
                <c:ptCount val="20"/>
                <c:pt idx="0">
                  <c:v>15170.372303978027</c:v>
                </c:pt>
                <c:pt idx="1">
                  <c:v>28880.618399095314</c:v>
                </c:pt>
                <c:pt idx="2">
                  <c:v>41271.273303417503</c:v>
                </c:pt>
                <c:pt idx="3">
                  <c:v>52469.345744486265</c:v>
                </c:pt>
                <c:pt idx="4">
                  <c:v>62589.620045054668</c:v>
                </c:pt>
                <c:pt idx="5">
                  <c:v>71735.832704219269</c:v>
                </c:pt>
                <c:pt idx="6">
                  <c:v>80001.735734334201</c:v>
                </c:pt>
                <c:pt idx="7">
                  <c:v>87472.057653298194</c:v>
                </c:pt>
                <c:pt idx="8">
                  <c:v>94223.371982735465</c:v>
                </c:pt>
                <c:pt idx="9">
                  <c:v>100324.8821544934</c:v>
                </c:pt>
                <c:pt idx="10">
                  <c:v>105839.13087103458</c:v>
                </c:pt>
                <c:pt idx="11">
                  <c:v>110822.64119092564</c:v>
                </c:pt>
                <c:pt idx="12">
                  <c:v>115326.49591078291</c:v>
                </c:pt>
                <c:pt idx="13">
                  <c:v>119396.86118255059</c:v>
                </c:pt>
                <c:pt idx="14">
                  <c:v>123075.45973337986</c:v>
                </c:pt>
                <c:pt idx="15">
                  <c:v>126399.99853878452</c:v>
                </c:pt>
                <c:pt idx="16">
                  <c:v>129404.55533287935</c:v>
                </c:pt>
                <c:pt idx="17">
                  <c:v>132119.92791757159</c:v>
                </c:pt>
                <c:pt idx="18">
                  <c:v>134573.94985125237</c:v>
                </c:pt>
                <c:pt idx="19">
                  <c:v>136791.77575291178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07840"/>
        <c:axId val="-1515503488"/>
      </c:lineChart>
      <c:catAx>
        <c:axId val="-1515507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03488"/>
        <c:crosses val="autoZero"/>
        <c:auto val="1"/>
        <c:lblAlgn val="ctr"/>
        <c:lblOffset val="100"/>
        <c:noMultiLvlLbl val="0"/>
      </c:catAx>
      <c:valAx>
        <c:axId val="-151550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0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[2]FinaIndikatori!$A$37</c:f>
              <c:strCache>
                <c:ptCount val="1"/>
                <c:pt idx="0">
                  <c:v>Dobit nakon oporezivanja (EUR/a)</c:v>
                </c:pt>
              </c:strCache>
              <c:extLst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[2]FinaIndikatori!$E$37:$Y$37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0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8384"/>
        <c:axId val="-1509014912"/>
        <c:extLst/>
      </c:barChart>
      <c:lineChart>
        <c:grouping val="standard"/>
        <c:varyColors val="0"/>
        <c:ser>
          <c:idx val="3"/>
          <c:order val="3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8384"/>
        <c:axId val="-150901491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[2]FinaIndikatori!$E$3:$Y$3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845-44E6-A549-7AE01C7912A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845-44E6-A549-7AE01C7912A8}"/>
                  </c:ext>
                </c:extLst>
              </c15:ser>
            </c15:filteredLineSeries>
          </c:ext>
        </c:extLst>
      </c:lineChart>
      <c:catAx>
        <c:axId val="-1509008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14912"/>
        <c:crosses val="autoZero"/>
        <c:auto val="1"/>
        <c:lblAlgn val="ctr"/>
        <c:lblOffset val="100"/>
        <c:noMultiLvlLbl val="0"/>
      </c:catAx>
      <c:valAx>
        <c:axId val="-150901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524675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04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32</xdr:row>
      <xdr:rowOff>0</xdr:rowOff>
    </xdr:from>
    <xdr:to>
      <xdr:col>2</xdr:col>
      <xdr:colOff>534200</xdr:colOff>
      <xdr:row>34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6764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393700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4847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390525</xdr:colOff>
      <xdr:row>13</xdr:row>
      <xdr:rowOff>0</xdr:rowOff>
    </xdr:from>
    <xdr:to>
      <xdr:col>17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390525</xdr:colOff>
      <xdr:row>13</xdr:row>
      <xdr:rowOff>0</xdr:rowOff>
    </xdr:from>
    <xdr:to>
      <xdr:col>11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7600" y="1600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05809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0469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301291-14CC-4C33-B962-595C9F825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1540" y="1185862"/>
          <a:ext cx="438950" cy="394941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8F8895FF-ECF2-4517-A2BC-F6035260A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1E1377CB-CAF5-41FE-8FB7-86EEDC8BE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Kotao%20na%20biomasu.xlsx" TargetMode="External"/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cetna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</sheetNames>
    <sheetDataSet>
      <sheetData sheetId="0"/>
      <sheetData sheetId="1"/>
      <sheetData sheetId="2"/>
      <sheetData sheetId="3"/>
      <sheetData sheetId="4"/>
      <sheetData sheetId="5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4"/>
  <sheetViews>
    <sheetView workbookViewId="0">
      <selection activeCell="K2" sqref="K2"/>
    </sheetView>
  </sheetViews>
  <sheetFormatPr defaultRowHeight="15" x14ac:dyDescent="0.25"/>
  <sheetData>
    <row r="3" spans="2:18" ht="16.5" x14ac:dyDescent="0.35">
      <c r="F3" s="54" t="s">
        <v>147</v>
      </c>
      <c r="G3" s="54"/>
      <c r="H3" s="54"/>
      <c r="I3" s="54"/>
    </row>
    <row r="7" spans="2:18" x14ac:dyDescent="0.25">
      <c r="B7" s="55" t="s">
        <v>0</v>
      </c>
      <c r="C7" s="55"/>
      <c r="D7" s="55"/>
      <c r="E7" s="55"/>
      <c r="F7" s="55"/>
      <c r="G7" s="55"/>
      <c r="H7" s="55"/>
      <c r="I7" s="55"/>
      <c r="J7" s="55"/>
      <c r="K7" s="55"/>
    </row>
    <row r="8" spans="2:18" x14ac:dyDescent="0.25">
      <c r="B8" s="55"/>
      <c r="C8" s="55"/>
      <c r="D8" s="55"/>
      <c r="E8" s="55"/>
      <c r="F8" s="55"/>
      <c r="G8" s="55"/>
      <c r="H8" s="55"/>
      <c r="I8" s="55"/>
      <c r="J8" s="55"/>
      <c r="K8" s="55"/>
    </row>
    <row r="9" spans="2:18" x14ac:dyDescent="0.25">
      <c r="B9" s="55"/>
      <c r="C9" s="55"/>
      <c r="D9" s="55"/>
      <c r="E9" s="55"/>
      <c r="F9" s="55"/>
      <c r="G9" s="55"/>
      <c r="H9" s="55"/>
      <c r="I9" s="55"/>
      <c r="J9" s="55"/>
      <c r="K9" s="55"/>
      <c r="M9" s="56" t="s">
        <v>2</v>
      </c>
      <c r="N9" s="56"/>
      <c r="O9" s="56"/>
      <c r="P9" s="56"/>
      <c r="Q9" s="56"/>
      <c r="R9" s="56"/>
    </row>
    <row r="10" spans="2:18" x14ac:dyDescent="0.25">
      <c r="B10" s="55"/>
      <c r="C10" s="55"/>
      <c r="D10" s="55"/>
      <c r="E10" s="55"/>
      <c r="F10" s="55"/>
      <c r="G10" s="55"/>
      <c r="H10" s="55"/>
      <c r="I10" s="55"/>
      <c r="J10" s="55"/>
      <c r="K10" s="55"/>
      <c r="M10" s="56"/>
      <c r="N10" s="56"/>
      <c r="O10" s="56"/>
      <c r="P10" s="56"/>
      <c r="Q10" s="56"/>
      <c r="R10" s="56"/>
    </row>
    <row r="11" spans="2:18" x14ac:dyDescent="0.25">
      <c r="B11" s="55"/>
      <c r="C11" s="55"/>
      <c r="D11" s="55"/>
      <c r="E11" s="55"/>
      <c r="F11" s="55"/>
      <c r="G11" s="55"/>
      <c r="H11" s="55"/>
      <c r="I11" s="55"/>
      <c r="J11" s="55"/>
      <c r="K11" s="55"/>
    </row>
    <row r="12" spans="2:18" x14ac:dyDescent="0.25">
      <c r="B12" s="55"/>
      <c r="C12" s="55"/>
      <c r="D12" s="55"/>
      <c r="E12" s="55"/>
      <c r="F12" s="55"/>
      <c r="G12" s="55"/>
      <c r="H12" s="55"/>
      <c r="I12" s="55"/>
      <c r="J12" s="55"/>
      <c r="K12" s="55"/>
      <c r="M12" s="57" t="s">
        <v>39</v>
      </c>
      <c r="N12" s="57"/>
      <c r="O12" s="57"/>
      <c r="P12" s="57"/>
      <c r="Q12" s="57"/>
      <c r="R12" s="57"/>
    </row>
    <row r="13" spans="2:18" x14ac:dyDescent="0.25">
      <c r="B13" s="55"/>
      <c r="C13" s="55"/>
      <c r="D13" s="55"/>
      <c r="E13" s="55"/>
      <c r="F13" s="55"/>
      <c r="G13" s="55"/>
      <c r="H13" s="55"/>
      <c r="I13" s="55"/>
      <c r="J13" s="55"/>
      <c r="K13" s="55"/>
    </row>
    <row r="14" spans="2:18" x14ac:dyDescent="0.25">
      <c r="B14" s="55"/>
      <c r="C14" s="55"/>
      <c r="D14" s="55"/>
      <c r="E14" s="55"/>
      <c r="F14" s="55"/>
      <c r="G14" s="55"/>
      <c r="H14" s="55"/>
      <c r="I14" s="55"/>
      <c r="J14" s="55"/>
      <c r="K14" s="55"/>
      <c r="M14" s="58" t="s">
        <v>127</v>
      </c>
      <c r="N14" s="58"/>
      <c r="Q14" s="59" t="s">
        <v>128</v>
      </c>
      <c r="R14" s="59"/>
    </row>
    <row r="15" spans="2:18" x14ac:dyDescent="0.25">
      <c r="B15" s="55"/>
      <c r="C15" s="55"/>
      <c r="D15" s="55"/>
      <c r="E15" s="55"/>
      <c r="F15" s="55"/>
      <c r="G15" s="55"/>
      <c r="H15" s="55"/>
      <c r="I15" s="55"/>
      <c r="J15" s="55"/>
      <c r="K15" s="55"/>
      <c r="M15" s="58"/>
      <c r="N15" s="58"/>
      <c r="Q15" s="59"/>
      <c r="R15" s="59"/>
    </row>
    <row r="16" spans="2:18" x14ac:dyDescent="0.25">
      <c r="B16" s="55"/>
      <c r="C16" s="55"/>
      <c r="D16" s="55"/>
      <c r="E16" s="55"/>
      <c r="F16" s="55"/>
      <c r="G16" s="55"/>
      <c r="H16" s="55"/>
      <c r="I16" s="55"/>
      <c r="J16" s="55"/>
      <c r="K16" s="55"/>
    </row>
    <row r="17" spans="2:11" x14ac:dyDescent="0.25">
      <c r="B17" s="55"/>
      <c r="C17" s="55"/>
      <c r="D17" s="55"/>
      <c r="E17" s="55"/>
      <c r="F17" s="55"/>
      <c r="G17" s="55"/>
      <c r="H17" s="55"/>
      <c r="I17" s="55"/>
      <c r="J17" s="55"/>
      <c r="K17" s="55"/>
    </row>
    <row r="18" spans="2:11" x14ac:dyDescent="0.25">
      <c r="B18" s="55"/>
      <c r="C18" s="55"/>
      <c r="D18" s="55"/>
      <c r="E18" s="55"/>
      <c r="F18" s="55"/>
      <c r="G18" s="55"/>
      <c r="H18" s="55"/>
      <c r="I18" s="55"/>
      <c r="J18" s="55"/>
      <c r="K18" s="55"/>
    </row>
    <row r="19" spans="2:11" x14ac:dyDescent="0.25">
      <c r="B19" s="55"/>
      <c r="C19" s="55"/>
      <c r="D19" s="55"/>
      <c r="E19" s="55"/>
      <c r="F19" s="55"/>
      <c r="G19" s="55"/>
      <c r="H19" s="55"/>
      <c r="I19" s="55"/>
      <c r="J19" s="55"/>
      <c r="K19" s="55"/>
    </row>
    <row r="20" spans="2:11" x14ac:dyDescent="0.25">
      <c r="B20" s="55"/>
      <c r="C20" s="55"/>
      <c r="D20" s="55"/>
      <c r="E20" s="55"/>
      <c r="F20" s="55"/>
      <c r="G20" s="55"/>
      <c r="H20" s="55"/>
      <c r="I20" s="55"/>
      <c r="J20" s="55"/>
      <c r="K20" s="55"/>
    </row>
    <row r="21" spans="2:11" x14ac:dyDescent="0.25">
      <c r="B21" s="55"/>
      <c r="C21" s="55"/>
      <c r="D21" s="55"/>
      <c r="E21" s="55"/>
      <c r="F21" s="55"/>
      <c r="G21" s="55"/>
      <c r="H21" s="55"/>
      <c r="I21" s="55"/>
      <c r="J21" s="55"/>
      <c r="K21" s="55"/>
    </row>
    <row r="22" spans="2:11" x14ac:dyDescent="0.25">
      <c r="B22" s="55"/>
      <c r="C22" s="55"/>
      <c r="D22" s="55"/>
      <c r="E22" s="55"/>
      <c r="F22" s="55"/>
      <c r="G22" s="55"/>
      <c r="H22" s="55"/>
      <c r="I22" s="55"/>
      <c r="J22" s="55"/>
      <c r="K22" s="55"/>
    </row>
    <row r="23" spans="2:11" x14ac:dyDescent="0.25">
      <c r="B23" s="55"/>
      <c r="C23" s="55"/>
      <c r="D23" s="55"/>
      <c r="E23" s="55"/>
      <c r="F23" s="55"/>
      <c r="G23" s="55"/>
      <c r="H23" s="55"/>
      <c r="I23" s="55"/>
      <c r="J23" s="55"/>
      <c r="K23" s="55"/>
    </row>
    <row r="24" spans="2:11" x14ac:dyDescent="0.25">
      <c r="B24" s="55"/>
      <c r="C24" s="55"/>
      <c r="D24" s="55"/>
      <c r="E24" s="55"/>
      <c r="F24" s="55"/>
      <c r="G24" s="55"/>
      <c r="H24" s="55"/>
      <c r="I24" s="55"/>
      <c r="J24" s="55"/>
      <c r="K24" s="55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PomTab1!$B$7:$B$24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AB20"/>
  <sheetViews>
    <sheetView workbookViewId="0">
      <selection activeCell="H27" sqref="H27"/>
    </sheetView>
  </sheetViews>
  <sheetFormatPr defaultRowHeight="15" x14ac:dyDescent="0.25"/>
  <cols>
    <col min="6" max="6" width="10.42578125" customWidth="1"/>
  </cols>
  <sheetData>
    <row r="3" spans="1:28" ht="16.5" x14ac:dyDescent="0.35">
      <c r="F3" s="54" t="s">
        <v>147</v>
      </c>
      <c r="G3" s="54"/>
      <c r="H3" s="54"/>
      <c r="I3" s="54"/>
    </row>
    <row r="7" spans="1:28" x14ac:dyDescent="0.25">
      <c r="A7" s="68" t="s">
        <v>114</v>
      </c>
      <c r="B7" s="68"/>
      <c r="C7" s="68"/>
      <c r="D7" s="68"/>
      <c r="I7" s="58" t="s">
        <v>127</v>
      </c>
      <c r="J7" s="58"/>
      <c r="N7" s="59" t="s">
        <v>128</v>
      </c>
      <c r="O7" s="59"/>
    </row>
    <row r="8" spans="1:28" x14ac:dyDescent="0.25">
      <c r="A8" s="68"/>
      <c r="B8" s="68"/>
      <c r="C8" s="68"/>
      <c r="D8" s="68"/>
      <c r="I8" s="58"/>
      <c r="J8" s="58"/>
      <c r="N8" s="59"/>
      <c r="O8" s="59"/>
    </row>
    <row r="10" spans="1:28" x14ac:dyDescent="0.25">
      <c r="A10" s="60" t="s">
        <v>115</v>
      </c>
      <c r="B10" s="60"/>
      <c r="C10" s="60"/>
      <c r="D10" s="60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  <c r="Z10" s="15"/>
      <c r="AA10" s="15"/>
      <c r="AB10" s="15"/>
    </row>
    <row r="12" spans="1:28" x14ac:dyDescent="0.25">
      <c r="A12" s="62" t="s">
        <v>116</v>
      </c>
      <c r="B12" s="62"/>
      <c r="C12" s="62"/>
      <c r="D12" s="62"/>
      <c r="E12" s="2"/>
      <c r="F12" s="2">
        <f>Investment</f>
        <v>91400</v>
      </c>
    </row>
    <row r="13" spans="1:28" x14ac:dyDescent="0.25">
      <c r="A13" s="62" t="s">
        <v>117</v>
      </c>
      <c r="B13" s="62"/>
      <c r="C13" s="62"/>
      <c r="D13" s="62"/>
      <c r="F13" s="2">
        <f>IF(F10&lt;&gt;"",-(FinaIndicators!F28+FinaIndicators!F33),"")</f>
        <v>34854.317211948786</v>
      </c>
      <c r="G13" s="2">
        <f>IF(G10&lt;&gt;"",-(FinaIndicators!G28+FinaIndicators!G33),"")</f>
        <v>34712.185382561263</v>
      </c>
      <c r="H13" s="2">
        <f>IF(H10&lt;&gt;"",-(FinaIndicators!H28+FinaIndicators!H33),"")</f>
        <v>34285.61354756837</v>
      </c>
      <c r="I13" s="2">
        <f>IF(I10&lt;&gt;"",-(FinaIndicators!I28+FinaIndicators!I33),"")</f>
        <v>4080.5358804275465</v>
      </c>
      <c r="J13" s="2">
        <f>IF(J10&lt;&gt;"",-(FinaIndicators!J28+FinaIndicators!J33),"")</f>
        <v>4080.5358804275465</v>
      </c>
      <c r="K13" s="2">
        <f>IF(K10&lt;&gt;"",-(FinaIndicators!K28+FinaIndicators!K33),"")</f>
        <v>4080.5358804275465</v>
      </c>
      <c r="L13" s="2">
        <f>IF(L10&lt;&gt;"",-(FinaIndicators!L28+FinaIndicators!L33),"")</f>
        <v>4080.5358804275465</v>
      </c>
      <c r="M13" s="2">
        <f>IF(M10&lt;&gt;"",-(FinaIndicators!M28+FinaIndicators!M33),"")</f>
        <v>4080.5358804275465</v>
      </c>
      <c r="N13" s="2">
        <f>IF(N10&lt;&gt;"",-(FinaIndicators!N28+FinaIndicators!N33),"")</f>
        <v>4080.5358804275465</v>
      </c>
      <c r="O13" s="2">
        <f>IF(O10&lt;&gt;"",-(FinaIndicators!O28+FinaIndicators!O33),"")</f>
        <v>4080.5358804275465</v>
      </c>
      <c r="P13" s="2">
        <f>IF(P10&lt;&gt;"",-(FinaIndicators!P28+FinaIndicators!P33),"")</f>
        <v>4080.5358804275465</v>
      </c>
      <c r="Q13" s="2">
        <f>IF(Q10&lt;&gt;"",-(FinaIndicators!Q28+FinaIndicators!Q33),"")</f>
        <v>4080.5358804275465</v>
      </c>
      <c r="R13" s="2">
        <f>IF(R10&lt;&gt;"",-(FinaIndicators!R28+FinaIndicators!R33),"")</f>
        <v>4080.5358804275465</v>
      </c>
      <c r="S13" s="2">
        <f>IF(S10&lt;&gt;"",-(FinaIndicators!S28+FinaIndicators!S33),"")</f>
        <v>4080.5358804275465</v>
      </c>
      <c r="T13" s="2">
        <f>IF(T10&lt;&gt;"",-(FinaIndicators!T28+FinaIndicators!T33),"")</f>
        <v>4080.5358804275465</v>
      </c>
      <c r="U13" s="2">
        <f>IF(U10&lt;&gt;"",-(FinaIndicators!U28+FinaIndicators!U33),"")</f>
        <v>4080.5358804275465</v>
      </c>
      <c r="V13" s="2">
        <f>IF(V10&lt;&gt;"",-(FinaIndicators!V28+FinaIndicators!V33),"")</f>
        <v>4080.5358804275465</v>
      </c>
      <c r="W13" s="2">
        <f>IF(W10&lt;&gt;"",-(FinaIndicators!W28+FinaIndicators!W33),"")</f>
        <v>4080.5358804275465</v>
      </c>
      <c r="X13" s="2">
        <f>IF(X10&lt;&gt;"",-(FinaIndicators!X28+FinaIndicators!X33),"")</f>
        <v>4080.5358804275465</v>
      </c>
      <c r="Y13" s="2">
        <f>IF(Y10&lt;&gt;"",-(FinaIndicators!Y28+FinaIndicators!Y33),"")</f>
        <v>4080.5358804275465</v>
      </c>
    </row>
    <row r="14" spans="1:28" x14ac:dyDescent="0.25">
      <c r="A14" s="62" t="s">
        <v>118</v>
      </c>
      <c r="B14" s="62"/>
      <c r="C14" s="62"/>
      <c r="D14" s="62"/>
      <c r="E14" s="2"/>
      <c r="F14" s="2">
        <f t="shared" ref="F14:Y14" si="0">IF(F10&lt;&gt;"",F12+F13,"")</f>
        <v>126254.31721194879</v>
      </c>
      <c r="G14" s="2">
        <f t="shared" si="0"/>
        <v>34712.185382561263</v>
      </c>
      <c r="H14" s="2">
        <f t="shared" si="0"/>
        <v>34285.61354756837</v>
      </c>
      <c r="I14" s="2">
        <f t="shared" si="0"/>
        <v>4080.5358804275465</v>
      </c>
      <c r="J14" s="2">
        <f t="shared" si="0"/>
        <v>4080.5358804275465</v>
      </c>
      <c r="K14" s="2">
        <f t="shared" si="0"/>
        <v>4080.5358804275465</v>
      </c>
      <c r="L14" s="2">
        <f t="shared" si="0"/>
        <v>4080.5358804275465</v>
      </c>
      <c r="M14" s="2">
        <f t="shared" si="0"/>
        <v>4080.5358804275465</v>
      </c>
      <c r="N14" s="2">
        <f t="shared" si="0"/>
        <v>4080.5358804275465</v>
      </c>
      <c r="O14" s="2">
        <f t="shared" si="0"/>
        <v>4080.5358804275465</v>
      </c>
      <c r="P14" s="2">
        <f t="shared" si="0"/>
        <v>4080.5358804275465</v>
      </c>
      <c r="Q14" s="2">
        <f t="shared" si="0"/>
        <v>4080.5358804275465</v>
      </c>
      <c r="R14" s="2">
        <f t="shared" si="0"/>
        <v>4080.5358804275465</v>
      </c>
      <c r="S14" s="2">
        <f t="shared" si="0"/>
        <v>4080.5358804275465</v>
      </c>
      <c r="T14" s="2">
        <f t="shared" si="0"/>
        <v>4080.5358804275465</v>
      </c>
      <c r="U14" s="2">
        <f t="shared" si="0"/>
        <v>4080.5358804275465</v>
      </c>
      <c r="V14" s="2">
        <f t="shared" si="0"/>
        <v>4080.5358804275465</v>
      </c>
      <c r="W14" s="2">
        <f t="shared" si="0"/>
        <v>4080.5358804275465</v>
      </c>
      <c r="X14" s="2">
        <f t="shared" si="0"/>
        <v>4080.5358804275465</v>
      </c>
      <c r="Y14" s="2">
        <f t="shared" si="0"/>
        <v>4080.5358804275465</v>
      </c>
    </row>
    <row r="15" spans="1:28" x14ac:dyDescent="0.25">
      <c r="A15" s="63"/>
      <c r="B15" s="63"/>
      <c r="C15" s="63"/>
      <c r="D15" s="63"/>
    </row>
    <row r="16" spans="1:28" x14ac:dyDescent="0.25">
      <c r="A16" s="62" t="s">
        <v>110</v>
      </c>
      <c r="B16" s="62"/>
      <c r="C16" s="62"/>
      <c r="D16" s="62"/>
      <c r="F16" s="2">
        <f>IF(F10&lt;&gt;"",FinaIndicators!F14,"")</f>
        <v>218.436188832</v>
      </c>
      <c r="G16" s="2">
        <f>IF(G10&lt;&gt;"",FinaIndicators!G14,"")</f>
        <v>218.436188832</v>
      </c>
      <c r="H16" s="2">
        <f>IF(H10&lt;&gt;"",FinaIndicators!H14,"")</f>
        <v>218.436188832</v>
      </c>
      <c r="I16" s="2">
        <f>IF(I10&lt;&gt;"",FinaIndicators!I14,"")</f>
        <v>218.436188832</v>
      </c>
      <c r="J16" s="2">
        <f>IF(J10&lt;&gt;"",FinaIndicators!J14,"")</f>
        <v>218.436188832</v>
      </c>
      <c r="K16" s="2">
        <f>IF(K10&lt;&gt;"",FinaIndicators!K14,"")</f>
        <v>218.436188832</v>
      </c>
      <c r="L16" s="2">
        <f>IF(L10&lt;&gt;"",FinaIndicators!L14,"")</f>
        <v>218.436188832</v>
      </c>
      <c r="M16" s="2">
        <f>IF(M10&lt;&gt;"",FinaIndicators!M14,"")</f>
        <v>218.436188832</v>
      </c>
      <c r="N16" s="2">
        <f>IF(N10&lt;&gt;"",FinaIndicators!N14,"")</f>
        <v>218.436188832</v>
      </c>
      <c r="O16" s="2">
        <f>IF(O10&lt;&gt;"",FinaIndicators!O14,"")</f>
        <v>218.436188832</v>
      </c>
      <c r="P16" s="2">
        <f>IF(P10&lt;&gt;"",FinaIndicators!P14,"")</f>
        <v>218.436188832</v>
      </c>
      <c r="Q16" s="2">
        <f>IF(Q10&lt;&gt;"",FinaIndicators!Q14,"")</f>
        <v>218.436188832</v>
      </c>
      <c r="R16" s="2">
        <f>IF(R10&lt;&gt;"",FinaIndicators!R14,"")</f>
        <v>218.436188832</v>
      </c>
      <c r="S16" s="2">
        <f>IF(S10&lt;&gt;"",FinaIndicators!S14,"")</f>
        <v>218.436188832</v>
      </c>
      <c r="T16" s="2">
        <f>IF(T10&lt;&gt;"",FinaIndicators!T14,"")</f>
        <v>218.436188832</v>
      </c>
      <c r="U16" s="2">
        <f>IF(U10&lt;&gt;"",FinaIndicators!U14,"")</f>
        <v>218.436188832</v>
      </c>
      <c r="V16" s="2">
        <f>IF(V10&lt;&gt;"",FinaIndicators!V14,"")</f>
        <v>218.436188832</v>
      </c>
      <c r="W16" s="2">
        <f>IF(W10&lt;&gt;"",FinaIndicators!W14,"")</f>
        <v>218.436188832</v>
      </c>
      <c r="X16" s="2">
        <f>IF(X10&lt;&gt;"",FinaIndicators!X14,"")</f>
        <v>218.436188832</v>
      </c>
      <c r="Y16" s="2">
        <f>IF(Y10&lt;&gt;"",FinaIndicators!Y14,"")</f>
        <v>218.436188832</v>
      </c>
    </row>
    <row r="17" spans="1:25" ht="18" x14ac:dyDescent="0.35">
      <c r="A17" s="62" t="s">
        <v>119</v>
      </c>
      <c r="B17" s="62"/>
      <c r="C17" s="62"/>
      <c r="D17" s="62"/>
      <c r="F17" s="2">
        <f>IF(F10&lt;&gt;"",F16*UnosPodataka!$M$23,"")</f>
        <v>48.055961543039999</v>
      </c>
      <c r="G17" s="2">
        <f>IF(G10&lt;&gt;"",G16*UnosPodataka!$M$23,"")</f>
        <v>48.055961543039999</v>
      </c>
      <c r="H17" s="2">
        <f>IF(H10&lt;&gt;"",H16*UnosPodataka!$M$23,"")</f>
        <v>48.055961543039999</v>
      </c>
      <c r="I17" s="2">
        <f>IF(I10&lt;&gt;"",I16*UnosPodataka!$M$23,"")</f>
        <v>48.055961543039999</v>
      </c>
      <c r="J17" s="2">
        <f>IF(J10&lt;&gt;"",J16*UnosPodataka!$M$23,"")</f>
        <v>48.055961543039999</v>
      </c>
      <c r="K17" s="2">
        <f>IF(K10&lt;&gt;"",K16*UnosPodataka!$M$23,"")</f>
        <v>48.055961543039999</v>
      </c>
      <c r="L17" s="2">
        <f>IF(L10&lt;&gt;"",L16*UnosPodataka!$M$23,"")</f>
        <v>48.055961543039999</v>
      </c>
      <c r="M17" s="2">
        <f>IF(M10&lt;&gt;"",M16*UnosPodataka!$M$23,"")</f>
        <v>48.055961543039999</v>
      </c>
      <c r="N17" s="2">
        <f>IF(N10&lt;&gt;"",N16*UnosPodataka!$M$23,"")</f>
        <v>48.055961543039999</v>
      </c>
      <c r="O17" s="2">
        <f>IF(O10&lt;&gt;"",O16*UnosPodataka!$M$23,"")</f>
        <v>48.055961543039999</v>
      </c>
      <c r="P17" s="2">
        <f>IF(P10&lt;&gt;"",P16*UnosPodataka!$M$23,"")</f>
        <v>48.055961543039999</v>
      </c>
      <c r="Q17" s="2">
        <f>IF(Q10&lt;&gt;"",Q16*UnosPodataka!$M$23,"")</f>
        <v>48.055961543039999</v>
      </c>
      <c r="R17" s="2">
        <f>IF(R10&lt;&gt;"",R16*UnosPodataka!$M$23,"")</f>
        <v>48.055961543039999</v>
      </c>
      <c r="S17" s="2">
        <f>IF(S10&lt;&gt;"",S16*UnosPodataka!$M$23,"")</f>
        <v>48.055961543039999</v>
      </c>
      <c r="T17" s="2">
        <f>IF(T10&lt;&gt;"",T16*UnosPodataka!$M$23,"")</f>
        <v>48.055961543039999</v>
      </c>
      <c r="U17" s="2">
        <f>IF(U10&lt;&gt;"",U16*UnosPodataka!$M$23,"")</f>
        <v>48.055961543039999</v>
      </c>
      <c r="V17" s="2">
        <f>IF(V10&lt;&gt;"",V16*UnosPodataka!$M$23,"")</f>
        <v>48.055961543039999</v>
      </c>
      <c r="W17" s="2">
        <f>IF(W10&lt;&gt;"",W16*UnosPodataka!$M$23,"")</f>
        <v>48.055961543039999</v>
      </c>
      <c r="X17" s="2">
        <f>IF(X10&lt;&gt;"",X16*UnosPodataka!$M$23,"")</f>
        <v>48.055961543039999</v>
      </c>
      <c r="Y17" s="2">
        <f>IF(Y10&lt;&gt;"",Y16*UnosPodataka!$M$23,"")</f>
        <v>48.055961543039999</v>
      </c>
    </row>
    <row r="19" spans="1:25" x14ac:dyDescent="0.25">
      <c r="A19" s="60" t="s">
        <v>30</v>
      </c>
      <c r="B19" s="60"/>
      <c r="C19" s="60"/>
      <c r="D19" s="60"/>
      <c r="E19" s="2">
        <f>NPV(UnosPodataka!M18,LCoEE!F14:Y14)/NPV(UnosPodataka!M18,LCoEE!F16:Y16)</f>
        <v>85.687156913403612</v>
      </c>
    </row>
    <row r="20" spans="1:25" ht="18" x14ac:dyDescent="0.35">
      <c r="A20" s="60" t="s">
        <v>31</v>
      </c>
      <c r="B20" s="60"/>
      <c r="C20" s="60"/>
      <c r="D20" s="60"/>
      <c r="E20" s="2">
        <f>NPV(UnosPodataka!M18,LCoEE!F14:Y14)/NPV(UnosPodataka!M18,LCoEE!F17:Y17)</f>
        <v>389.48707687910752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8"/>
    <mergeCell ref="N7:O8"/>
    <mergeCell ref="A16:D16"/>
    <mergeCell ref="A17:D17"/>
  </mergeCells>
  <hyperlinks>
    <hyperlink ref="I7:J8" location="GraphEcon!A5" display="NAZAD" xr:uid="{00000000-0004-0000-0900-000000000000}"/>
    <hyperlink ref="N7:O8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I37"/>
  <sheetViews>
    <sheetView topLeftCell="A3" workbookViewId="0">
      <selection activeCell="D31" sqref="D31"/>
    </sheetView>
  </sheetViews>
  <sheetFormatPr defaultRowHeight="15" x14ac:dyDescent="0.25"/>
  <cols>
    <col min="2" max="2" width="10.28515625" customWidth="1"/>
    <col min="4" max="4" width="11.7109375" customWidth="1"/>
  </cols>
  <sheetData>
    <row r="3" spans="1:9" ht="16.5" x14ac:dyDescent="0.35">
      <c r="F3" s="54" t="s">
        <v>147</v>
      </c>
      <c r="G3" s="54"/>
      <c r="H3" s="54"/>
      <c r="I3" s="54"/>
    </row>
    <row r="6" spans="1:9" ht="21" x14ac:dyDescent="0.35">
      <c r="A6" s="66" t="s">
        <v>120</v>
      </c>
      <c r="B6" s="66"/>
      <c r="C6" s="66"/>
      <c r="D6" s="66"/>
    </row>
    <row r="7" spans="1:9" ht="15.75" thickBot="1" x14ac:dyDescent="0.3"/>
    <row r="8" spans="1:9" ht="15.75" thickBot="1" x14ac:dyDescent="0.3">
      <c r="B8" s="46" t="s">
        <v>171</v>
      </c>
      <c r="C8" s="47"/>
      <c r="D8" s="46" t="s">
        <v>172</v>
      </c>
      <c r="E8" s="47"/>
    </row>
    <row r="9" spans="1:9" ht="15.75" thickBot="1" x14ac:dyDescent="0.3">
      <c r="B9" s="48" t="s">
        <v>173</v>
      </c>
      <c r="C9" s="48" t="s">
        <v>174</v>
      </c>
      <c r="D9" s="48" t="s">
        <v>173</v>
      </c>
      <c r="E9" s="48" t="s">
        <v>174</v>
      </c>
    </row>
    <row r="11" spans="1:9" x14ac:dyDescent="0.25">
      <c r="A11" s="49" t="s">
        <v>175</v>
      </c>
      <c r="B11" s="50">
        <v>-86315.186692329866</v>
      </c>
      <c r="C11" s="51">
        <v>-8.3483484330221236E-3</v>
      </c>
      <c r="D11" s="50">
        <v>-56806.859389071025</v>
      </c>
      <c r="E11" s="6">
        <v>3.5821474257466734E-2</v>
      </c>
    </row>
    <row r="12" spans="1:9" x14ac:dyDescent="0.25">
      <c r="B12" s="50"/>
      <c r="C12" s="51"/>
      <c r="D12" s="50"/>
    </row>
    <row r="13" spans="1:9" x14ac:dyDescent="0.25">
      <c r="A13" s="49" t="s">
        <v>176</v>
      </c>
      <c r="B13" s="50"/>
      <c r="C13" s="51"/>
      <c r="D13" s="50"/>
    </row>
    <row r="14" spans="1:9" x14ac:dyDescent="0.25">
      <c r="A14" s="17">
        <v>0.1</v>
      </c>
      <c r="B14" s="50">
        <v>-78590.044941996777</v>
      </c>
      <c r="C14" s="51">
        <v>4.0313890903840299E-3</v>
      </c>
      <c r="D14" s="50">
        <v>-49230.002786121229</v>
      </c>
      <c r="E14" s="6">
        <v>4.6032166209234671E-2</v>
      </c>
    </row>
    <row r="15" spans="1:9" x14ac:dyDescent="0.25">
      <c r="A15" s="17">
        <v>-0.1</v>
      </c>
      <c r="B15" s="50">
        <v>-94069.426168965685</v>
      </c>
      <c r="C15" s="51">
        <v>-2.1643524269088776E-2</v>
      </c>
      <c r="D15" s="50">
        <v>-64383.715992020763</v>
      </c>
      <c r="E15" s="6">
        <v>2.5223058108877483E-2</v>
      </c>
    </row>
    <row r="16" spans="1:9" x14ac:dyDescent="0.25">
      <c r="A16" t="s">
        <v>177</v>
      </c>
      <c r="B16" s="51">
        <v>1.1365000000000001</v>
      </c>
      <c r="C16" s="51"/>
      <c r="D16" s="51">
        <v>0.74980000000000002</v>
      </c>
      <c r="E16" s="6"/>
    </row>
    <row r="17" spans="1:5" x14ac:dyDescent="0.25">
      <c r="B17" s="50"/>
      <c r="C17" s="51"/>
      <c r="D17" s="50"/>
    </row>
    <row r="18" spans="1:5" x14ac:dyDescent="0.25">
      <c r="A18" s="49" t="s">
        <v>179</v>
      </c>
      <c r="B18" s="50"/>
      <c r="C18" s="51"/>
      <c r="D18" s="50"/>
    </row>
    <row r="19" spans="1:5" x14ac:dyDescent="0.25">
      <c r="A19" s="17">
        <v>0.1</v>
      </c>
      <c r="B19" s="50">
        <v>-70208.796309224315</v>
      </c>
      <c r="C19" s="51">
        <v>1.6759120287888507E-2</v>
      </c>
      <c r="D19" s="50">
        <v>-34739.660007743456</v>
      </c>
      <c r="E19" s="6">
        <v>6.4709995079019533E-2</v>
      </c>
    </row>
    <row r="20" spans="1:5" x14ac:dyDescent="0.25">
      <c r="A20" s="17">
        <v>-0.1</v>
      </c>
      <c r="B20" s="50">
        <v>-101142.6653706596</v>
      </c>
      <c r="C20" s="51">
        <v>-3.4670596868843329E-2</v>
      </c>
      <c r="D20" s="50">
        <v>-76784.468824268726</v>
      </c>
      <c r="E20" s="6">
        <v>6.8183943019983762E-3</v>
      </c>
    </row>
    <row r="21" spans="1:5" x14ac:dyDescent="0.25">
      <c r="A21" t="s">
        <v>177</v>
      </c>
      <c r="B21" s="52">
        <v>0.46200000000000002</v>
      </c>
      <c r="C21" s="51"/>
      <c r="D21" s="52">
        <v>0.2412</v>
      </c>
      <c r="E21" s="6"/>
    </row>
    <row r="22" spans="1:5" x14ac:dyDescent="0.25">
      <c r="B22" s="50"/>
      <c r="C22" s="51"/>
      <c r="D22" s="50"/>
    </row>
    <row r="23" spans="1:5" x14ac:dyDescent="0.25">
      <c r="A23" s="49" t="s">
        <v>90</v>
      </c>
      <c r="B23" s="49"/>
      <c r="C23" s="49"/>
      <c r="D23" s="49"/>
    </row>
    <row r="24" spans="1:5" x14ac:dyDescent="0.25">
      <c r="A24" s="17">
        <v>0.1</v>
      </c>
      <c r="B24" s="50"/>
      <c r="C24" s="51"/>
      <c r="D24" s="50">
        <v>-53875.525810436207</v>
      </c>
      <c r="E24" s="6">
        <v>3.9813787517831045E-2</v>
      </c>
    </row>
    <row r="25" spans="1:5" x14ac:dyDescent="0.25">
      <c r="A25" s="17">
        <v>-0.1</v>
      </c>
      <c r="B25" s="50"/>
      <c r="C25" s="51"/>
      <c r="D25" s="50">
        <v>-59738.192967705792</v>
      </c>
      <c r="E25" s="6">
        <v>3.177131773225228E-2</v>
      </c>
    </row>
    <row r="26" spans="1:5" x14ac:dyDescent="0.25">
      <c r="A26" t="s">
        <v>177</v>
      </c>
      <c r="B26" s="51"/>
      <c r="C26" s="51"/>
      <c r="D26" s="51">
        <v>1.9379999999999999</v>
      </c>
      <c r="E26" s="6"/>
    </row>
    <row r="27" spans="1:5" x14ac:dyDescent="0.25">
      <c r="B27" s="53"/>
      <c r="C27" s="51"/>
      <c r="D27" s="53"/>
      <c r="E27" s="6"/>
    </row>
    <row r="28" spans="1:5" x14ac:dyDescent="0.25">
      <c r="A28" s="49" t="s">
        <v>178</v>
      </c>
      <c r="B28" s="53"/>
      <c r="C28" s="51"/>
      <c r="D28" s="53"/>
      <c r="E28" s="6"/>
    </row>
    <row r="29" spans="1:5" x14ac:dyDescent="0.25">
      <c r="A29" s="17">
        <v>0.1</v>
      </c>
      <c r="B29" s="50">
        <v>-104672.77849158188</v>
      </c>
      <c r="C29" s="51">
        <v>-2.1516137314719352E-2</v>
      </c>
      <c r="D29" s="50">
        <v>-75202.730140694854</v>
      </c>
      <c r="E29" s="6">
        <v>2.1074911554014086E-2</v>
      </c>
    </row>
    <row r="30" spans="1:5" x14ac:dyDescent="0.25">
      <c r="A30" s="17">
        <v>-0.1</v>
      </c>
      <c r="B30" s="50">
        <v>-67817.77664791765</v>
      </c>
      <c r="C30" s="51">
        <v>6.9075978495807266E-3</v>
      </c>
      <c r="D30" s="50">
        <v>-38169.940969163923</v>
      </c>
      <c r="E30" s="6">
        <v>5.3244917729824648E-2</v>
      </c>
    </row>
    <row r="31" spans="1:5" x14ac:dyDescent="0.25">
      <c r="A31" t="s">
        <v>177</v>
      </c>
      <c r="B31" s="51">
        <v>-0.45400000000000001</v>
      </c>
      <c r="C31" s="53"/>
      <c r="D31" s="51">
        <v>-0.29849999999999999</v>
      </c>
      <c r="E31" s="6"/>
    </row>
    <row r="33" spans="1:5" x14ac:dyDescent="0.25">
      <c r="A33" s="58" t="s">
        <v>127</v>
      </c>
      <c r="B33" s="58"/>
      <c r="D33" s="59" t="s">
        <v>128</v>
      </c>
      <c r="E33" s="59"/>
    </row>
    <row r="34" spans="1:5" x14ac:dyDescent="0.25">
      <c r="A34" s="58"/>
      <c r="B34" s="58"/>
      <c r="D34" s="59"/>
      <c r="E34" s="59"/>
    </row>
    <row r="37" spans="1:5" x14ac:dyDescent="0.25">
      <c r="B37" s="50">
        <f>+FinaIndicators!$E$43</f>
        <v>-86315.186692329866</v>
      </c>
      <c r="C37" s="51">
        <f>+FinaIndicators!$E$44</f>
        <v>-8.3483484330221236E-3</v>
      </c>
      <c r="D37" s="50">
        <f>+'FinInd+CO2'!$E$44</f>
        <v>-56806.859389071025</v>
      </c>
      <c r="E37" s="6">
        <f>+'FinInd+CO2'!$E$45</f>
        <v>3.5821474257466734E-2</v>
      </c>
    </row>
  </sheetData>
  <sheetProtection selectLockedCells="1" selectUnlockedCells="1"/>
  <mergeCells count="4">
    <mergeCell ref="F3:I3"/>
    <mergeCell ref="A33:B34"/>
    <mergeCell ref="D33:E34"/>
    <mergeCell ref="A6:D6"/>
  </mergeCells>
  <hyperlinks>
    <hyperlink ref="A33:B34" location="LCoEE!I1" display="NAZAD" xr:uid="{00000000-0004-0000-0A00-000000000000}"/>
    <hyperlink ref="D33:E34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H21" sqref="H21"/>
    </sheetView>
  </sheetViews>
  <sheetFormatPr defaultRowHeight="15" x14ac:dyDescent="0.25"/>
  <cols>
    <col min="5" max="5" width="9.85546875" bestFit="1" customWidth="1"/>
  </cols>
  <sheetData>
    <row r="3" spans="1:25" ht="16.5" x14ac:dyDescent="0.35">
      <c r="F3" s="54" t="s">
        <v>147</v>
      </c>
      <c r="G3" s="54"/>
      <c r="H3" s="54"/>
      <c r="I3" s="54"/>
    </row>
    <row r="7" spans="1:25" x14ac:dyDescent="0.25">
      <c r="A7" s="56" t="s">
        <v>131</v>
      </c>
      <c r="B7" s="56"/>
      <c r="C7" s="56"/>
      <c r="D7" s="56"/>
      <c r="I7" s="58" t="s">
        <v>127</v>
      </c>
      <c r="J7" s="58"/>
      <c r="N7" s="59" t="s">
        <v>128</v>
      </c>
      <c r="O7" s="59"/>
    </row>
    <row r="8" spans="1:25" x14ac:dyDescent="0.25">
      <c r="A8" s="56"/>
      <c r="B8" s="56"/>
      <c r="C8" s="56"/>
      <c r="D8" s="56"/>
      <c r="I8" s="58"/>
      <c r="J8" s="58"/>
      <c r="N8" s="59"/>
      <c r="O8" s="59"/>
    </row>
    <row r="10" spans="1:25" x14ac:dyDescent="0.25">
      <c r="A10" s="60" t="s">
        <v>115</v>
      </c>
      <c r="B10" s="60"/>
      <c r="C10" s="60"/>
      <c r="D10" s="60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</row>
    <row r="12" spans="1:25" x14ac:dyDescent="0.25">
      <c r="A12" s="62" t="s">
        <v>132</v>
      </c>
      <c r="B12" s="62"/>
      <c r="C12" s="62"/>
      <c r="D12" s="62"/>
      <c r="E12" s="2">
        <v>0</v>
      </c>
      <c r="F12" s="2">
        <f>-FinaIndicators!F27</f>
        <v>0</v>
      </c>
      <c r="G12" s="2">
        <f>-FinaIndicators!G27</f>
        <v>0</v>
      </c>
      <c r="H12" s="2">
        <f>-FinaIndicators!H27</f>
        <v>0</v>
      </c>
      <c r="I12" s="2">
        <f>-FinaIndicators!I27</f>
        <v>0</v>
      </c>
      <c r="J12" s="2">
        <f>-FinaIndicators!J27</f>
        <v>0</v>
      </c>
      <c r="K12" s="2">
        <f>-FinaIndicators!K27</f>
        <v>0</v>
      </c>
      <c r="L12" s="2">
        <f>-FinaIndicators!L27</f>
        <v>0</v>
      </c>
      <c r="M12" s="2">
        <f>-FinaIndicators!M27</f>
        <v>0</v>
      </c>
      <c r="N12" s="2">
        <f>-FinaIndicators!N27</f>
        <v>0</v>
      </c>
      <c r="O12" s="2">
        <f>-FinaIndicators!O27</f>
        <v>0</v>
      </c>
      <c r="P12" s="2">
        <f>-FinaIndicators!P27</f>
        <v>0</v>
      </c>
      <c r="Q12" s="2">
        <f>-FinaIndicators!Q27</f>
        <v>0</v>
      </c>
      <c r="R12" s="2">
        <f>-FinaIndicators!R27</f>
        <v>0</v>
      </c>
      <c r="S12" s="2">
        <f>-FinaIndicators!S27</f>
        <v>0</v>
      </c>
      <c r="T12" s="2">
        <f>-FinaIndicators!T27</f>
        <v>0</v>
      </c>
      <c r="U12" s="2">
        <f>-FinaIndicators!U27</f>
        <v>0</v>
      </c>
      <c r="V12" s="2">
        <f>-FinaIndicators!V27</f>
        <v>0</v>
      </c>
      <c r="W12" s="2">
        <f>-FinaIndicators!W27</f>
        <v>0</v>
      </c>
      <c r="X12" s="2">
        <f>-FinaIndicators!X27</f>
        <v>0</v>
      </c>
      <c r="Y12" s="2">
        <f>-FinaIndicators!Y27</f>
        <v>0</v>
      </c>
    </row>
    <row r="13" spans="1:25" x14ac:dyDescent="0.25">
      <c r="A13" s="62" t="s">
        <v>133</v>
      </c>
      <c r="B13" s="62"/>
      <c r="C13" s="62"/>
      <c r="D13" s="62"/>
      <c r="E13" s="2">
        <v>0</v>
      </c>
      <c r="F13" s="2">
        <f>IF(F10&lt;&gt;0,F12*(1+UnosPodataka!$M$18)^(-F10),"")</f>
        <v>0</v>
      </c>
      <c r="G13" s="2">
        <f>IF(G10&lt;&gt;0,G12*(1+UnosPodataka!$M$18)^(-G10),"")</f>
        <v>0</v>
      </c>
      <c r="H13" s="2">
        <f>IF(H10&lt;&gt;0,H12*(1+UnosPodataka!$M$18)^(-H10),"")</f>
        <v>0</v>
      </c>
      <c r="I13" s="2">
        <f>IF(I10&lt;&gt;0,I12*(1+UnosPodataka!$M$18)^(-I10),"")</f>
        <v>0</v>
      </c>
      <c r="J13" s="2">
        <f>IF(J10&lt;&gt;0,J12*(1+UnosPodataka!$M$18)^(-J10),"")</f>
        <v>0</v>
      </c>
      <c r="K13" s="2">
        <f>IF(K10&lt;&gt;0,K12*(1+UnosPodataka!$M$18)^(-K10),"")</f>
        <v>0</v>
      </c>
      <c r="L13" s="2">
        <f>IF(L10&lt;&gt;0,L12*(1+UnosPodataka!$M$18)^(-L10),"")</f>
        <v>0</v>
      </c>
      <c r="M13" s="2">
        <f>IF(M10&lt;&gt;0,M12*(1+UnosPodataka!$M$18)^(-M10),"")</f>
        <v>0</v>
      </c>
      <c r="N13" s="2">
        <f>IF(N10&lt;&gt;0,N12*(1+UnosPodataka!$M$18)^(-N10),"")</f>
        <v>0</v>
      </c>
      <c r="O13" s="2">
        <f>IF(O10&lt;&gt;0,O12*(1+UnosPodataka!$M$18)^(-O10),"")</f>
        <v>0</v>
      </c>
      <c r="P13" s="2">
        <f>IF(P10&lt;&gt;0,P12*(1+UnosPodataka!$M$18)^(-P10),"")</f>
        <v>0</v>
      </c>
      <c r="Q13" s="2">
        <f>IF(Q10&lt;&gt;0,Q12*(1+UnosPodataka!$M$18)^(-Q10),"")</f>
        <v>0</v>
      </c>
      <c r="R13" s="2">
        <f>IF(R10&lt;&gt;0,R12*(1+UnosPodataka!$M$18)^(-R10),"")</f>
        <v>0</v>
      </c>
      <c r="S13" s="2">
        <f>IF(S10&lt;&gt;0,S12*(1+UnosPodataka!$M$18)^(-S10),"")</f>
        <v>0</v>
      </c>
      <c r="T13" s="2">
        <f>IF(T10&lt;&gt;0,T12*(1+UnosPodataka!$M$18)^(-T10),"")</f>
        <v>0</v>
      </c>
      <c r="U13" s="2">
        <f>IF(U10&lt;&gt;0,U12*(1+UnosPodataka!$M$18)^(-U10),"")</f>
        <v>0</v>
      </c>
      <c r="V13" s="2">
        <f>IF(V10&lt;&gt;0,V12*(1+UnosPodataka!$M$18)^(-V10),"")</f>
        <v>0</v>
      </c>
      <c r="W13" s="2">
        <f>IF(W10&lt;&gt;0,W12*(1+UnosPodataka!$M$18)^(-W10),"")</f>
        <v>0</v>
      </c>
      <c r="X13" s="2">
        <f>IF(X10&lt;&gt;0,X12*(1+UnosPodataka!$M$18)^(-X10),"")</f>
        <v>0</v>
      </c>
      <c r="Y13" s="2">
        <f>IF(Y10&lt;&gt;0,Y12*(1+UnosPodataka!$M$18)^(-Y10),"")</f>
        <v>0</v>
      </c>
    </row>
    <row r="15" spans="1:25" x14ac:dyDescent="0.25">
      <c r="A15" s="69" t="s">
        <v>28</v>
      </c>
      <c r="B15" s="69"/>
      <c r="C15" s="69"/>
      <c r="D15" s="69"/>
      <c r="E15" s="16">
        <f>NPV(UnosPodataka!M18,AkoESCO!F12:Y12)</f>
        <v>0</v>
      </c>
    </row>
    <row r="16" spans="1:25" x14ac:dyDescent="0.25">
      <c r="A16" s="69" t="s">
        <v>29</v>
      </c>
      <c r="B16" s="69"/>
      <c r="C16" s="69"/>
      <c r="D16" s="69"/>
      <c r="E16" s="5" t="s">
        <v>134</v>
      </c>
    </row>
  </sheetData>
  <mergeCells count="9">
    <mergeCell ref="N7:O8"/>
    <mergeCell ref="A7:D8"/>
    <mergeCell ref="A10:D10"/>
    <mergeCell ref="A12:D12"/>
    <mergeCell ref="F3:I3"/>
    <mergeCell ref="A13:D13"/>
    <mergeCell ref="A15:D15"/>
    <mergeCell ref="A16:D16"/>
    <mergeCell ref="I7:J8"/>
  </mergeCells>
  <hyperlinks>
    <hyperlink ref="I7:J8" location="SALCoEE!A9" display="NAZAD" xr:uid="{00000000-0004-0000-0B00-000000000000}"/>
    <hyperlink ref="N7:O8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D24" sqref="D24"/>
    </sheetView>
  </sheetViews>
  <sheetFormatPr defaultRowHeight="15" x14ac:dyDescent="0.25"/>
  <sheetData>
    <row r="3" spans="1:9" ht="16.5" x14ac:dyDescent="0.35">
      <c r="F3" s="54" t="s">
        <v>147</v>
      </c>
      <c r="G3" s="54"/>
      <c r="H3" s="54"/>
      <c r="I3" s="54"/>
    </row>
    <row r="7" spans="1:9" x14ac:dyDescent="0.25">
      <c r="A7" s="56" t="s">
        <v>135</v>
      </c>
      <c r="B7" s="56"/>
      <c r="C7" s="56"/>
      <c r="D7" s="56"/>
    </row>
    <row r="8" spans="1:9" x14ac:dyDescent="0.25">
      <c r="A8" s="56"/>
      <c r="B8" s="56"/>
      <c r="C8" s="56"/>
      <c r="D8" s="56"/>
    </row>
    <row r="9" spans="1:9" x14ac:dyDescent="0.25">
      <c r="A9" s="56"/>
      <c r="B9" s="56"/>
      <c r="C9" s="56"/>
      <c r="D9" s="56"/>
    </row>
    <row r="11" spans="1:9" x14ac:dyDescent="0.25">
      <c r="A11" s="58" t="s">
        <v>127</v>
      </c>
      <c r="B11" s="58"/>
      <c r="D11" s="59" t="s">
        <v>128</v>
      </c>
      <c r="E11" s="59"/>
    </row>
    <row r="12" spans="1:9" x14ac:dyDescent="0.25">
      <c r="A12" s="58"/>
      <c r="B12" s="58"/>
      <c r="D12" s="59"/>
      <c r="E12" s="59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D26" sqref="D26"/>
    </sheetView>
  </sheetViews>
  <sheetFormatPr defaultRowHeight="15" x14ac:dyDescent="0.25"/>
  <sheetData>
    <row r="3" spans="1:9" ht="16.5" x14ac:dyDescent="0.35">
      <c r="F3" s="54" t="s">
        <v>147</v>
      </c>
      <c r="G3" s="54"/>
      <c r="H3" s="54"/>
      <c r="I3" s="54"/>
    </row>
    <row r="7" spans="1:9" x14ac:dyDescent="0.25">
      <c r="A7" s="56" t="s">
        <v>136</v>
      </c>
      <c r="B7" s="56"/>
      <c r="C7" s="56"/>
      <c r="D7" s="56"/>
    </row>
    <row r="8" spans="1:9" x14ac:dyDescent="0.25">
      <c r="A8" s="56"/>
      <c r="B8" s="56"/>
      <c r="C8" s="56"/>
      <c r="D8" s="56"/>
    </row>
    <row r="9" spans="1:9" x14ac:dyDescent="0.25">
      <c r="B9" s="60" t="s">
        <v>137</v>
      </c>
      <c r="C9" s="60"/>
      <c r="D9" s="60"/>
      <c r="E9" s="63" t="str">
        <f>PROJEKAT</f>
        <v>Termoizolacija cevovoda i opreme</v>
      </c>
      <c r="F9" s="63"/>
      <c r="G9" s="63"/>
      <c r="H9" s="63"/>
      <c r="I9" s="63"/>
    </row>
    <row r="10" spans="1:9" x14ac:dyDescent="0.25">
      <c r="B10" s="60" t="s">
        <v>138</v>
      </c>
      <c r="C10" s="60"/>
      <c r="D10" s="60"/>
      <c r="E10" s="70">
        <f>Investment</f>
        <v>91400</v>
      </c>
      <c r="F10" s="70"/>
      <c r="G10" s="70"/>
      <c r="H10" s="70"/>
      <c r="I10" s="70"/>
    </row>
    <row r="11" spans="1:9" x14ac:dyDescent="0.25">
      <c r="B11" s="60" t="s">
        <v>139</v>
      </c>
      <c r="C11" s="60"/>
      <c r="D11" s="60"/>
      <c r="E11" s="70">
        <f>Investment-Equity-LOAN</f>
        <v>0</v>
      </c>
      <c r="F11" s="70"/>
      <c r="G11" s="70"/>
      <c r="H11" s="70"/>
      <c r="I11" s="70"/>
    </row>
    <row r="12" spans="1:9" x14ac:dyDescent="0.25">
      <c r="B12" s="60" t="s">
        <v>98</v>
      </c>
      <c r="C12" s="60"/>
      <c r="D12" s="60"/>
      <c r="E12" s="70">
        <f>Equity</f>
        <v>20000</v>
      </c>
      <c r="F12" s="70"/>
      <c r="G12" s="70"/>
      <c r="H12" s="70"/>
      <c r="I12" s="70"/>
    </row>
    <row r="13" spans="1:9" x14ac:dyDescent="0.25">
      <c r="B13" s="60" t="s">
        <v>97</v>
      </c>
      <c r="C13" s="60"/>
      <c r="D13" s="60"/>
      <c r="E13" s="70">
        <f>LOAN</f>
        <v>71400</v>
      </c>
      <c r="F13" s="70"/>
      <c r="G13" s="70"/>
      <c r="H13" s="70"/>
      <c r="I13" s="70"/>
    </row>
    <row r="14" spans="1:9" x14ac:dyDescent="0.25">
      <c r="B14" s="60" t="s">
        <v>140</v>
      </c>
      <c r="C14" s="60"/>
      <c r="D14" s="60"/>
      <c r="E14" s="70">
        <f>LCoEE</f>
        <v>85.687156913403612</v>
      </c>
      <c r="F14" s="70"/>
      <c r="G14" s="70"/>
      <c r="H14" s="70"/>
      <c r="I14" s="70"/>
    </row>
    <row r="15" spans="1:9" x14ac:dyDescent="0.25">
      <c r="B15" s="60" t="s">
        <v>28</v>
      </c>
      <c r="C15" s="60"/>
      <c r="D15" s="60"/>
      <c r="E15" s="70">
        <f>+FinaIndicators!E43</f>
        <v>-86315.186692329866</v>
      </c>
      <c r="F15" s="70"/>
      <c r="G15" s="70"/>
      <c r="H15" s="70"/>
      <c r="I15" s="70"/>
    </row>
    <row r="16" spans="1:9" x14ac:dyDescent="0.25">
      <c r="B16" s="60" t="s">
        <v>29</v>
      </c>
      <c r="C16" s="60"/>
      <c r="D16" s="60"/>
      <c r="E16" s="71">
        <f>+FinaIndicators!E44</f>
        <v>-8.3483484330221236E-3</v>
      </c>
      <c r="F16" s="71"/>
      <c r="G16" s="71"/>
      <c r="H16" s="71"/>
      <c r="I16" s="71"/>
    </row>
    <row r="17" spans="2:9" x14ac:dyDescent="0.25">
      <c r="B17" s="60" t="s">
        <v>180</v>
      </c>
      <c r="C17" s="60"/>
      <c r="D17" s="60"/>
      <c r="E17" s="70">
        <f>+'FinInd+CO2'!E44</f>
        <v>-56806.859389071025</v>
      </c>
      <c r="F17" s="70"/>
      <c r="G17" s="70"/>
      <c r="H17" s="70"/>
      <c r="I17" s="70"/>
    </row>
    <row r="18" spans="2:9" x14ac:dyDescent="0.25">
      <c r="B18" s="60" t="s">
        <v>181</v>
      </c>
      <c r="C18" s="60"/>
      <c r="D18" s="60"/>
      <c r="E18" s="72">
        <f>+'FinInd+CO2'!E45</f>
        <v>3.5821474257466734E-2</v>
      </c>
      <c r="F18" s="63"/>
      <c r="G18" s="63"/>
      <c r="H18" s="63"/>
      <c r="I18" s="63"/>
    </row>
    <row r="20" spans="2:9" x14ac:dyDescent="0.25">
      <c r="B20" s="58" t="s">
        <v>127</v>
      </c>
      <c r="C20" s="58"/>
    </row>
    <row r="21" spans="2:9" x14ac:dyDescent="0.25">
      <c r="B21" s="58"/>
      <c r="C21" s="58"/>
    </row>
  </sheetData>
  <mergeCells count="23">
    <mergeCell ref="E14:I14"/>
    <mergeCell ref="E15:I15"/>
    <mergeCell ref="E16:I16"/>
    <mergeCell ref="E17:I17"/>
    <mergeCell ref="E18:I18"/>
    <mergeCell ref="B20:C21"/>
    <mergeCell ref="B14:D14"/>
    <mergeCell ref="B15:D15"/>
    <mergeCell ref="B16:D16"/>
    <mergeCell ref="B17:D17"/>
    <mergeCell ref="B18:D18"/>
    <mergeCell ref="F3:I3"/>
    <mergeCell ref="B13:D13"/>
    <mergeCell ref="A7:D8"/>
    <mergeCell ref="B9:D9"/>
    <mergeCell ref="B10:D10"/>
    <mergeCell ref="B11:D11"/>
    <mergeCell ref="B12:D12"/>
    <mergeCell ref="E9:I9"/>
    <mergeCell ref="E10:I10"/>
    <mergeCell ref="E11:I11"/>
    <mergeCell ref="E12:I12"/>
    <mergeCell ref="E13:I13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P39"/>
  <sheetViews>
    <sheetView workbookViewId="0">
      <selection activeCell="G19" sqref="G19"/>
    </sheetView>
  </sheetViews>
  <sheetFormatPr defaultRowHeight="15" x14ac:dyDescent="0.25"/>
  <cols>
    <col min="2" max="2" width="36.42578125" customWidth="1"/>
    <col min="7" max="7" width="10.28515625" customWidth="1"/>
    <col min="11" max="11" width="9.5703125" bestFit="1" customWidth="1"/>
    <col min="13" max="13" width="10.140625" customWidth="1"/>
  </cols>
  <sheetData>
    <row r="3" spans="1:14" ht="16.5" x14ac:dyDescent="0.35">
      <c r="C3" s="54" t="s">
        <v>147</v>
      </c>
      <c r="D3" s="54"/>
      <c r="E3" s="54"/>
      <c r="F3" s="54"/>
    </row>
    <row r="7" spans="1:14" ht="15" customHeight="1" x14ac:dyDescent="0.25">
      <c r="A7" s="14" t="s">
        <v>32</v>
      </c>
      <c r="B7" t="s">
        <v>33</v>
      </c>
      <c r="E7">
        <v>1</v>
      </c>
      <c r="G7" s="18" t="s">
        <v>11</v>
      </c>
      <c r="H7" t="s">
        <v>50</v>
      </c>
      <c r="M7" s="18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123</v>
      </c>
      <c r="N9" t="s">
        <v>6</v>
      </c>
    </row>
    <row r="10" spans="1:14" x14ac:dyDescent="0.25">
      <c r="B10" t="s">
        <v>36</v>
      </c>
      <c r="E10">
        <v>4</v>
      </c>
      <c r="H10" t="s">
        <v>124</v>
      </c>
      <c r="N10" t="s">
        <v>7</v>
      </c>
    </row>
    <row r="11" spans="1:14" x14ac:dyDescent="0.25">
      <c r="B11" t="s">
        <v>37</v>
      </c>
      <c r="E11">
        <v>5</v>
      </c>
      <c r="H11" t="s">
        <v>52</v>
      </c>
      <c r="N11" t="s">
        <v>8</v>
      </c>
    </row>
    <row r="12" spans="1:14" x14ac:dyDescent="0.25">
      <c r="B12" t="s">
        <v>38</v>
      </c>
      <c r="E12">
        <v>6</v>
      </c>
      <c r="H12" t="s">
        <v>53</v>
      </c>
      <c r="N12" t="s">
        <v>9</v>
      </c>
    </row>
    <row r="13" spans="1:14" x14ac:dyDescent="0.25">
      <c r="B13" t="s">
        <v>39</v>
      </c>
      <c r="E13">
        <v>7</v>
      </c>
    </row>
    <row r="14" spans="1:14" x14ac:dyDescent="0.25">
      <c r="B14" t="s">
        <v>40</v>
      </c>
      <c r="E14">
        <v>8</v>
      </c>
    </row>
    <row r="15" spans="1:14" x14ac:dyDescent="0.25">
      <c r="B15" t="s">
        <v>41</v>
      </c>
      <c r="E15">
        <v>9</v>
      </c>
      <c r="G15" s="10"/>
      <c r="M15" s="18" t="s">
        <v>10</v>
      </c>
      <c r="N15" t="s">
        <v>54</v>
      </c>
    </row>
    <row r="16" spans="1:14" x14ac:dyDescent="0.25">
      <c r="B16" t="s">
        <v>42</v>
      </c>
      <c r="E16">
        <v>10</v>
      </c>
      <c r="G16" s="10"/>
      <c r="N16" t="s">
        <v>55</v>
      </c>
    </row>
    <row r="17" spans="2:16" x14ac:dyDescent="0.25">
      <c r="B17" t="s">
        <v>43</v>
      </c>
      <c r="E17">
        <v>11</v>
      </c>
      <c r="N17" t="s">
        <v>56</v>
      </c>
    </row>
    <row r="18" spans="2:16" x14ac:dyDescent="0.25">
      <c r="B18" t="s">
        <v>44</v>
      </c>
      <c r="E18">
        <v>12</v>
      </c>
      <c r="N18" t="s">
        <v>57</v>
      </c>
    </row>
    <row r="19" spans="2:16" ht="18" x14ac:dyDescent="0.35">
      <c r="B19" t="s">
        <v>45</v>
      </c>
      <c r="E19">
        <v>13</v>
      </c>
      <c r="N19" t="s">
        <v>58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60" t="s">
        <v>142</v>
      </c>
      <c r="I21" s="60"/>
      <c r="J21" s="60"/>
      <c r="M21" s="18" t="s">
        <v>12</v>
      </c>
      <c r="N21" t="s">
        <v>59</v>
      </c>
    </row>
    <row r="22" spans="2:16" x14ac:dyDescent="0.25">
      <c r="B22" t="s">
        <v>48</v>
      </c>
      <c r="E22">
        <v>16</v>
      </c>
      <c r="I22" t="s">
        <v>143</v>
      </c>
      <c r="K22" s="17">
        <v>0</v>
      </c>
      <c r="L22" s="17">
        <v>0</v>
      </c>
      <c r="N22" t="s">
        <v>60</v>
      </c>
    </row>
    <row r="23" spans="2:16" x14ac:dyDescent="0.25">
      <c r="B23" t="s">
        <v>49</v>
      </c>
      <c r="E23">
        <v>17</v>
      </c>
      <c r="I23" t="s">
        <v>144</v>
      </c>
      <c r="K23" s="7">
        <f>+LOAN</f>
        <v>71400</v>
      </c>
      <c r="L23" s="17">
        <v>0.12</v>
      </c>
      <c r="N23" t="s">
        <v>61</v>
      </c>
    </row>
    <row r="24" spans="2:16" x14ac:dyDescent="0.25">
      <c r="B24" t="s">
        <v>122</v>
      </c>
      <c r="E24">
        <v>18</v>
      </c>
      <c r="I24" t="s">
        <v>145</v>
      </c>
      <c r="K24" s="7">
        <f>+Equity</f>
        <v>20000</v>
      </c>
      <c r="L24" s="6">
        <v>5.8299999999999998E-2</v>
      </c>
      <c r="N24" t="s">
        <v>62</v>
      </c>
    </row>
    <row r="25" spans="2:16" x14ac:dyDescent="0.25">
      <c r="B25" s="13">
        <f>VLOOKUP(Pocetna!M12,B7:E23,4,FALSE)</f>
        <v>7</v>
      </c>
      <c r="J25" t="s">
        <v>146</v>
      </c>
      <c r="K25" s="7">
        <f>SUM(K22:K24)</f>
        <v>91400</v>
      </c>
      <c r="L25" s="6">
        <f>+(K22*L22+K23*L23+K24*L24)/K25</f>
        <v>0.10649890590809628</v>
      </c>
      <c r="N25" t="s">
        <v>63</v>
      </c>
    </row>
    <row r="26" spans="2:16" x14ac:dyDescent="0.25">
      <c r="B26" s="9"/>
      <c r="N26" t="s">
        <v>141</v>
      </c>
    </row>
    <row r="27" spans="2:16" x14ac:dyDescent="0.25">
      <c r="N27" t="s">
        <v>64</v>
      </c>
    </row>
    <row r="28" spans="2:16" x14ac:dyDescent="0.25">
      <c r="B28" s="23"/>
      <c r="M28" s="18" t="s">
        <v>13</v>
      </c>
    </row>
    <row r="29" spans="2:16" x14ac:dyDescent="0.25">
      <c r="B29" s="24"/>
      <c r="N29" t="s">
        <v>14</v>
      </c>
      <c r="P29" s="2">
        <v>0.2</v>
      </c>
    </row>
    <row r="30" spans="2:16" x14ac:dyDescent="0.25">
      <c r="N30" t="s">
        <v>15</v>
      </c>
      <c r="P30" s="2">
        <v>0.22</v>
      </c>
    </row>
    <row r="31" spans="2:16" x14ac:dyDescent="0.25">
      <c r="N31" t="s">
        <v>16</v>
      </c>
      <c r="P31" s="2">
        <v>0.27</v>
      </c>
    </row>
    <row r="32" spans="2:16" x14ac:dyDescent="0.25">
      <c r="N32" t="s">
        <v>17</v>
      </c>
      <c r="P32" s="2">
        <v>0.28000000000000003</v>
      </c>
    </row>
    <row r="33" spans="14:16" x14ac:dyDescent="0.25">
      <c r="N33" t="s">
        <v>18</v>
      </c>
      <c r="P33" s="2">
        <v>0.8</v>
      </c>
    </row>
    <row r="34" spans="14:16" x14ac:dyDescent="0.25">
      <c r="N34" t="s">
        <v>19</v>
      </c>
      <c r="P34" s="2">
        <v>0.33</v>
      </c>
    </row>
    <row r="35" spans="14:16" x14ac:dyDescent="0.25">
      <c r="N35" t="s">
        <v>23</v>
      </c>
      <c r="P35" s="2">
        <v>0</v>
      </c>
    </row>
    <row r="36" spans="14:16" x14ac:dyDescent="0.25">
      <c r="N36" t="s">
        <v>20</v>
      </c>
      <c r="P36" s="2">
        <v>0.4</v>
      </c>
    </row>
    <row r="37" spans="14:16" x14ac:dyDescent="0.25">
      <c r="N37" t="s">
        <v>21</v>
      </c>
      <c r="P37" s="2">
        <v>0.33</v>
      </c>
    </row>
    <row r="38" spans="14:16" x14ac:dyDescent="0.25">
      <c r="N38" t="s">
        <v>22</v>
      </c>
      <c r="P38" s="2">
        <v>0</v>
      </c>
    </row>
    <row r="39" spans="14:16" x14ac:dyDescent="0.25">
      <c r="N39" t="s">
        <v>129</v>
      </c>
      <c r="P39" s="35" t="str">
        <f>[1]KonvFaktor!$E$16</f>
        <v/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R31"/>
  <sheetViews>
    <sheetView workbookViewId="0">
      <selection activeCell="H31" sqref="G31:H31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  <col min="15" max="16" width="0" hidden="1" customWidth="1"/>
  </cols>
  <sheetData>
    <row r="3" spans="2:18" ht="16.5" x14ac:dyDescent="0.35">
      <c r="F3" s="54" t="s">
        <v>147</v>
      </c>
      <c r="G3" s="54"/>
      <c r="H3" s="54"/>
      <c r="I3" s="54"/>
    </row>
    <row r="7" spans="2:18" x14ac:dyDescent="0.25">
      <c r="B7" s="65" t="s">
        <v>87</v>
      </c>
      <c r="C7" s="65"/>
      <c r="D7" s="65"/>
      <c r="E7" s="65"/>
      <c r="F7" s="1" t="s">
        <v>1</v>
      </c>
      <c r="I7" s="64" t="s">
        <v>87</v>
      </c>
      <c r="J7" s="64"/>
      <c r="K7" s="64"/>
      <c r="L7" s="64"/>
      <c r="M7" s="1" t="s">
        <v>24</v>
      </c>
    </row>
    <row r="8" spans="2:18" x14ac:dyDescent="0.25">
      <c r="Q8" s="58" t="s">
        <v>127</v>
      </c>
      <c r="R8" s="58"/>
    </row>
    <row r="9" spans="2:18" x14ac:dyDescent="0.25">
      <c r="B9" s="61" t="s">
        <v>50</v>
      </c>
      <c r="C9" s="61"/>
      <c r="D9" s="61"/>
      <c r="E9" s="61"/>
      <c r="F9" s="7">
        <v>500</v>
      </c>
      <c r="I9" s="62" t="s">
        <v>54</v>
      </c>
      <c r="J9" s="62"/>
      <c r="K9" s="62"/>
      <c r="L9" s="62"/>
      <c r="M9" s="2">
        <v>100</v>
      </c>
      <c r="Q9" s="58"/>
      <c r="R9" s="58"/>
    </row>
    <row r="10" spans="2:18" x14ac:dyDescent="0.25">
      <c r="B10" s="61" t="s">
        <v>51</v>
      </c>
      <c r="C10" s="61"/>
      <c r="D10" s="61"/>
      <c r="E10" s="61"/>
      <c r="F10" s="7">
        <v>200</v>
      </c>
      <c r="I10" s="62" t="s">
        <v>55</v>
      </c>
      <c r="J10" s="62"/>
      <c r="K10" s="62"/>
      <c r="L10" s="62"/>
      <c r="M10" s="6">
        <v>1</v>
      </c>
    </row>
    <row r="11" spans="2:18" x14ac:dyDescent="0.25">
      <c r="B11" s="61" t="s">
        <v>123</v>
      </c>
      <c r="C11" s="61"/>
      <c r="D11" s="61"/>
      <c r="E11" s="61"/>
      <c r="F11" s="7">
        <v>40500</v>
      </c>
      <c r="I11" s="62" t="s">
        <v>56</v>
      </c>
      <c r="J11" s="62"/>
      <c r="K11" s="62"/>
      <c r="L11" s="62"/>
      <c r="M11" s="19">
        <v>0.03</v>
      </c>
      <c r="Q11" s="59" t="s">
        <v>128</v>
      </c>
      <c r="R11" s="59"/>
    </row>
    <row r="12" spans="2:18" x14ac:dyDescent="0.25">
      <c r="B12" s="61" t="s">
        <v>124</v>
      </c>
      <c r="C12" s="61"/>
      <c r="D12" s="61"/>
      <c r="E12" s="61"/>
      <c r="F12" s="7">
        <v>49500</v>
      </c>
      <c r="I12" s="62" t="s">
        <v>57</v>
      </c>
      <c r="J12" s="62"/>
      <c r="K12" s="62"/>
      <c r="L12" s="62"/>
      <c r="M12" s="19">
        <v>2.5000000000000001E-2</v>
      </c>
      <c r="Q12" s="59"/>
      <c r="R12" s="59"/>
    </row>
    <row r="13" spans="2:18" x14ac:dyDescent="0.25">
      <c r="B13" s="61" t="s">
        <v>52</v>
      </c>
      <c r="C13" s="61"/>
      <c r="D13" s="61"/>
      <c r="E13" s="61"/>
      <c r="F13" s="7">
        <v>200</v>
      </c>
      <c r="I13" s="62" t="s">
        <v>90</v>
      </c>
      <c r="J13" s="62"/>
      <c r="K13" s="62"/>
      <c r="L13" s="62"/>
      <c r="M13" s="20">
        <f>97.44*O13</f>
        <v>97.44</v>
      </c>
      <c r="O13">
        <v>1</v>
      </c>
      <c r="P13" s="51">
        <f>+O13-1</f>
        <v>0</v>
      </c>
    </row>
    <row r="14" spans="2:18" x14ac:dyDescent="0.25">
      <c r="B14" s="61" t="s">
        <v>53</v>
      </c>
      <c r="C14" s="61"/>
      <c r="D14" s="61"/>
      <c r="E14" s="61"/>
      <c r="F14" s="7">
        <v>500</v>
      </c>
      <c r="I14" s="22"/>
      <c r="J14" s="22"/>
      <c r="K14" s="22"/>
      <c r="L14" s="22"/>
      <c r="M14" s="20"/>
    </row>
    <row r="15" spans="2:18" x14ac:dyDescent="0.25">
      <c r="B15" s="61"/>
      <c r="C15" s="61"/>
      <c r="D15" s="61"/>
      <c r="E15" s="61"/>
      <c r="F15" s="7"/>
      <c r="I15" s="22"/>
      <c r="J15" s="22"/>
      <c r="K15" s="22"/>
      <c r="L15" s="22"/>
      <c r="M15" s="20"/>
    </row>
    <row r="16" spans="2:18" x14ac:dyDescent="0.25">
      <c r="B16" s="61"/>
      <c r="C16" s="61"/>
      <c r="D16" s="61"/>
      <c r="E16" s="61"/>
      <c r="F16" s="7"/>
      <c r="I16" s="22"/>
      <c r="J16" s="22"/>
      <c r="K16" s="22"/>
      <c r="L16" s="22"/>
      <c r="M16" s="20"/>
    </row>
    <row r="17" spans="2:13" x14ac:dyDescent="0.25">
      <c r="B17" s="61"/>
      <c r="C17" s="61"/>
      <c r="D17" s="61"/>
      <c r="E17" s="61"/>
      <c r="F17" s="7"/>
      <c r="I17" s="63"/>
      <c r="J17" s="63"/>
      <c r="K17" s="63"/>
      <c r="L17" s="63"/>
      <c r="M17" s="6"/>
    </row>
    <row r="18" spans="2:13" x14ac:dyDescent="0.25">
      <c r="B18" s="61"/>
      <c r="C18" s="61"/>
      <c r="D18" s="61"/>
      <c r="E18" s="61"/>
      <c r="F18" s="7"/>
      <c r="I18" s="62" t="s">
        <v>62</v>
      </c>
      <c r="J18" s="62"/>
      <c r="K18" s="62"/>
      <c r="L18" s="62"/>
      <c r="M18" s="19">
        <v>0.06</v>
      </c>
    </row>
    <row r="19" spans="2:13" x14ac:dyDescent="0.25">
      <c r="E19" s="3" t="s">
        <v>88</v>
      </c>
      <c r="F19" s="2">
        <f>SUM(F9:F18)</f>
        <v>91400</v>
      </c>
      <c r="I19" s="62" t="s">
        <v>63</v>
      </c>
      <c r="J19" s="62"/>
      <c r="K19" s="62"/>
      <c r="L19" s="62"/>
      <c r="M19" s="19">
        <v>0.12</v>
      </c>
    </row>
    <row r="20" spans="2:13" x14ac:dyDescent="0.25">
      <c r="I20" s="62" t="s">
        <v>141</v>
      </c>
      <c r="J20" s="62"/>
      <c r="K20" s="62"/>
      <c r="L20" s="62"/>
      <c r="M20" s="19">
        <v>5.8299999999999998E-2</v>
      </c>
    </row>
    <row r="21" spans="2:13" x14ac:dyDescent="0.25">
      <c r="B21" s="62" t="s">
        <v>5</v>
      </c>
      <c r="C21" s="62"/>
      <c r="D21" s="62"/>
      <c r="E21" s="62"/>
      <c r="F21" s="7"/>
      <c r="I21" s="62" t="s">
        <v>60</v>
      </c>
      <c r="J21" s="62"/>
      <c r="K21" s="62"/>
      <c r="L21" s="62"/>
      <c r="M21" s="21">
        <v>3</v>
      </c>
    </row>
    <row r="22" spans="2:13" x14ac:dyDescent="0.25">
      <c r="B22" s="62"/>
      <c r="C22" s="62"/>
      <c r="D22" s="62"/>
      <c r="E22" s="62"/>
      <c r="F22" s="7"/>
      <c r="I22" s="62" t="s">
        <v>64</v>
      </c>
      <c r="J22" s="62"/>
      <c r="K22" s="62"/>
      <c r="L22" s="62"/>
      <c r="M22" s="7" t="s">
        <v>14</v>
      </c>
    </row>
    <row r="23" spans="2:13" x14ac:dyDescent="0.25">
      <c r="B23" s="62"/>
      <c r="C23" s="62"/>
      <c r="D23" s="62"/>
      <c r="E23" s="62"/>
      <c r="F23" s="2"/>
      <c r="I23" s="62" t="s">
        <v>91</v>
      </c>
      <c r="J23" s="62"/>
      <c r="K23" s="62"/>
      <c r="L23" s="62"/>
      <c r="M23" s="2">
        <v>0.22</v>
      </c>
    </row>
    <row r="24" spans="2:13" x14ac:dyDescent="0.25">
      <c r="B24" s="62"/>
      <c r="C24" s="62"/>
      <c r="D24" s="62"/>
      <c r="E24" s="62"/>
      <c r="I24" s="62" t="s">
        <v>61</v>
      </c>
      <c r="J24" s="62"/>
      <c r="K24" s="62"/>
      <c r="L24" s="62"/>
      <c r="M24" s="8">
        <v>20</v>
      </c>
    </row>
    <row r="25" spans="2:13" x14ac:dyDescent="0.25">
      <c r="B25" s="62"/>
      <c r="C25" s="62"/>
      <c r="D25" s="62"/>
      <c r="E25" s="62"/>
    </row>
    <row r="26" spans="2:13" x14ac:dyDescent="0.25">
      <c r="B26" s="62" t="s">
        <v>9</v>
      </c>
      <c r="C26" s="62"/>
      <c r="D26" s="62"/>
      <c r="E26" s="62"/>
      <c r="F26" s="7">
        <v>20000</v>
      </c>
      <c r="M26" s="11"/>
    </row>
    <row r="27" spans="2:13" x14ac:dyDescent="0.25">
      <c r="E27" s="4" t="s">
        <v>88</v>
      </c>
      <c r="F27" s="2">
        <f>IF(SUM(F21:F26)&gt;F19,FALSE,SUM(F21:F26))</f>
        <v>20000</v>
      </c>
      <c r="M27" s="2"/>
    </row>
    <row r="28" spans="2:13" x14ac:dyDescent="0.25">
      <c r="F28" s="2"/>
      <c r="M28" s="11"/>
    </row>
    <row r="29" spans="2:13" x14ac:dyDescent="0.25">
      <c r="E29" s="3" t="s">
        <v>89</v>
      </c>
      <c r="F29" s="2">
        <f>F19-F27</f>
        <v>71400</v>
      </c>
    </row>
    <row r="31" spans="2:13" x14ac:dyDescent="0.25">
      <c r="H31" s="51"/>
    </row>
  </sheetData>
  <sheetProtection selectLockedCells="1"/>
  <mergeCells count="34">
    <mergeCell ref="I18:L18"/>
    <mergeCell ref="I17:L17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B10:E10"/>
    <mergeCell ref="I19:L19"/>
    <mergeCell ref="I21:L21"/>
    <mergeCell ref="I22:L22"/>
    <mergeCell ref="I23:L23"/>
    <mergeCell ref="I24:L24"/>
    <mergeCell ref="I20:L20"/>
    <mergeCell ref="F3:I3"/>
    <mergeCell ref="Q8:R9"/>
    <mergeCell ref="Q11:R12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 xr:uid="{00000000-0002-0000-0200-000000000000}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 xr:uid="{00000000-0002-0000-0200-000001000000}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 xr:uid="{00000000-0002-0000-0200-000002000000}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 xr:uid="{00000000-0002-0000-0200-000003000000}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 xr:uid="{00000000-0002-0000-0200-000004000000}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 xr:uid="{00000000-0002-0000-0200-000005000000}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 xr:uid="{00000000-0002-0000-0200-000006000000}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 xr:uid="{00000000-0002-0000-0200-000007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8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9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A000000}">
      <formula1>0</formula1>
      <formula2>0.1</formula2>
    </dataValidation>
    <dataValidation type="decimal" allowBlank="1" showInputMessage="1" showErrorMessage="1" errorTitle="Restriction" error="Iznos ne može biti veći od 7%" promptTitle="DA" prompt="Troškovi amortizacije prema računovodstvenim standardima - za toplinske pumpe ta stopa je 10%." sqref="M12" xr:uid="{00000000-0002-0000-0200-00000B000000}">
      <formula1>0</formula1>
      <formula2>0.07</formula2>
    </dataValidation>
    <dataValidation type="whole" allowBlank="1" showInputMessage="1" showErrorMessage="1" errorTitle="Restriction" error="Iznos ne može biti veći od 110 EUR/t CO2" promptTitle="CO2TAX" prompt="Preporučuje se iznos 55 EUR/t CO2." sqref="M14:M16" xr:uid="{00000000-0002-0000-0200-00000C000000}">
      <formula1>0</formula1>
      <formula2>110</formula2>
    </dataValidation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 xr:uid="{00000000-0002-0000-0200-00000D000000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 xr:uid="{00000000-0002-0000-0200-00000E000000}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 xr:uid="{00000000-0002-0000-0200-00000F000000}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 xr:uid="{00000000-0002-0000-0200-000010000000}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 xr:uid="{00000000-0002-0000-0200-000011000000}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 xr:uid="{00000000-0002-0000-0200-000012000000}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 xr:uid="{00000000-0002-0000-0200-000013000000}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DC172EDE-10A3-43C0-9CFE-B4AF8E5D8BD6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 xr:uid="{D5AC884A-9935-4DC2-B609-B0F7E2644D51}"/>
  </dataValidations>
  <hyperlinks>
    <hyperlink ref="Q8:R9" location="Pocetna!M9" display="NAZAD" xr:uid="{00000000-0004-0000-0200-000000000000}"/>
    <hyperlink ref="Q11:R12" location="Ustede!A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14000000}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15000000}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6000000}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7000000}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8000000}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9000000}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F000000}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 xr:uid="{00000000-0002-0000-0200-000020000000}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A000000}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B000000}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C000000}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D000000}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E000000}">
          <x14:formula1>
            <xm:f>PomTab1!$N$21:$N$27</xm:f>
          </x14:formula1>
          <xm:sqref>I22:L23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L20"/>
  <sheetViews>
    <sheetView workbookViewId="0">
      <selection activeCell="G25" sqref="G25"/>
    </sheetView>
  </sheetViews>
  <sheetFormatPr defaultRowHeight="15" x14ac:dyDescent="0.25"/>
  <cols>
    <col min="6" max="6" width="12.42578125" customWidth="1"/>
    <col min="7" max="7" width="13.5703125" customWidth="1"/>
    <col min="8" max="8" width="16.140625" customWidth="1"/>
  </cols>
  <sheetData>
    <row r="3" spans="1:12" ht="16.5" x14ac:dyDescent="0.35">
      <c r="F3" s="54" t="s">
        <v>147</v>
      </c>
      <c r="G3" s="54"/>
      <c r="H3" s="54"/>
      <c r="I3" s="54"/>
    </row>
    <row r="7" spans="1:12" ht="21" x14ac:dyDescent="0.35">
      <c r="A7" s="66" t="s">
        <v>78</v>
      </c>
      <c r="B7" s="66"/>
      <c r="C7" s="66"/>
      <c r="D7" s="66"/>
      <c r="E7" s="66"/>
      <c r="F7" s="66"/>
    </row>
    <row r="8" spans="1:12" x14ac:dyDescent="0.25">
      <c r="K8" s="58" t="s">
        <v>127</v>
      </c>
      <c r="L8" s="58"/>
    </row>
    <row r="9" spans="1:12" x14ac:dyDescent="0.25">
      <c r="A9" t="s">
        <v>79</v>
      </c>
      <c r="F9" s="31">
        <v>7000</v>
      </c>
      <c r="G9" s="5" t="s">
        <v>84</v>
      </c>
      <c r="H9" t="s">
        <v>65</v>
      </c>
      <c r="I9" s="5" t="s">
        <v>66</v>
      </c>
      <c r="K9" s="58"/>
      <c r="L9" s="58"/>
    </row>
    <row r="10" spans="1:12" ht="15" customHeight="1" x14ac:dyDescent="0.25">
      <c r="F10" s="27"/>
      <c r="G10" s="5"/>
      <c r="H10" s="25" t="s">
        <v>67</v>
      </c>
      <c r="I10" s="26">
        <v>10.776999999999999</v>
      </c>
    </row>
    <row r="11" spans="1:12" x14ac:dyDescent="0.25">
      <c r="F11" s="27"/>
      <c r="G11" s="5"/>
      <c r="H11" s="25" t="s">
        <v>68</v>
      </c>
      <c r="I11" s="26">
        <v>12.632999999999999</v>
      </c>
      <c r="K11" s="59" t="s">
        <v>128</v>
      </c>
      <c r="L11" s="59"/>
    </row>
    <row r="12" spans="1:12" x14ac:dyDescent="0.25">
      <c r="F12" s="28"/>
      <c r="G12" s="5"/>
      <c r="H12" s="25" t="s">
        <v>69</v>
      </c>
      <c r="I12" s="26">
        <v>13.029</v>
      </c>
      <c r="K12" s="59"/>
      <c r="L12" s="59"/>
    </row>
    <row r="13" spans="1:12" x14ac:dyDescent="0.25">
      <c r="F13" s="28"/>
      <c r="G13" s="5"/>
      <c r="H13" s="25" t="s">
        <v>70</v>
      </c>
      <c r="I13" s="26">
        <v>13.808</v>
      </c>
    </row>
    <row r="14" spans="1:12" x14ac:dyDescent="0.25">
      <c r="A14" t="s">
        <v>80</v>
      </c>
      <c r="F14" s="32" t="s">
        <v>74</v>
      </c>
      <c r="G14" s="5" t="s">
        <v>85</v>
      </c>
      <c r="H14" s="25" t="s">
        <v>71</v>
      </c>
      <c r="I14" s="26">
        <v>15.896000000000001</v>
      </c>
    </row>
    <row r="15" spans="1:12" x14ac:dyDescent="0.25">
      <c r="A15" t="s">
        <v>125</v>
      </c>
      <c r="F15" s="33">
        <v>500</v>
      </c>
      <c r="G15" s="5" t="s">
        <v>86</v>
      </c>
      <c r="H15" s="25" t="s">
        <v>72</v>
      </c>
      <c r="I15" s="26">
        <v>18.728999999999999</v>
      </c>
    </row>
    <row r="16" spans="1:12" x14ac:dyDescent="0.25">
      <c r="A16" t="s">
        <v>81</v>
      </c>
      <c r="F16" s="34">
        <v>0.4</v>
      </c>
      <c r="G16" s="5" t="s">
        <v>85</v>
      </c>
      <c r="H16" s="25" t="s">
        <v>73</v>
      </c>
      <c r="I16" s="26">
        <v>20.376999999999999</v>
      </c>
    </row>
    <row r="17" spans="1:10" x14ac:dyDescent="0.25">
      <c r="A17" t="s">
        <v>126</v>
      </c>
      <c r="F17" s="34">
        <v>7.0000000000000007E-2</v>
      </c>
      <c r="G17" s="5" t="s">
        <v>85</v>
      </c>
      <c r="H17" s="25" t="s">
        <v>74</v>
      </c>
      <c r="I17" s="26">
        <v>19.843</v>
      </c>
    </row>
    <row r="18" spans="1:10" x14ac:dyDescent="0.25">
      <c r="H18" s="25" t="s">
        <v>75</v>
      </c>
      <c r="I18" s="26">
        <v>22.786999999999999</v>
      </c>
    </row>
    <row r="19" spans="1:10" x14ac:dyDescent="0.25">
      <c r="A19" t="s">
        <v>82</v>
      </c>
      <c r="F19" s="29">
        <f>(13.33-1)*F16*F15*186*24*VLOOKUP(F14,H10:I19,2,FALSE)/10^6</f>
        <v>218.436188832</v>
      </c>
      <c r="G19" s="5" t="s">
        <v>25</v>
      </c>
      <c r="H19" s="25" t="s">
        <v>76</v>
      </c>
      <c r="I19" s="26">
        <v>22.266999999999999</v>
      </c>
      <c r="J19" s="36"/>
    </row>
    <row r="20" spans="1:10" x14ac:dyDescent="0.25">
      <c r="A20" t="s">
        <v>83</v>
      </c>
      <c r="F20" s="30">
        <f>F9*F19*(1-F17)/Kurs_EUR</f>
        <v>12103.427463816357</v>
      </c>
      <c r="G20" s="5" t="s">
        <v>26</v>
      </c>
      <c r="H20" s="25" t="s">
        <v>77</v>
      </c>
      <c r="I20" s="26">
        <v>23.71</v>
      </c>
    </row>
  </sheetData>
  <sheetProtection selectLockedCells="1"/>
  <mergeCells count="4">
    <mergeCell ref="A7:F7"/>
    <mergeCell ref="K8:L9"/>
    <mergeCell ref="K11:L12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 xr:uid="{00000000-0002-0000-0300-000000000000}">
      <formula1>$H$10:$H$20</formula1>
    </dataValidation>
  </dataValidations>
  <hyperlinks>
    <hyperlink ref="K8:L9" location="UnosPodataka!O3" display="NAZAD" xr:uid="{00000000-0004-0000-0300-000000000000}"/>
    <hyperlink ref="K11:L12" location="Anuiteti!B2" display="DALJE" xr:uid="{00000000-0004-0000-0300-000001000000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M32"/>
  <sheetViews>
    <sheetView workbookViewId="0">
      <selection activeCell="D26" sqref="D26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54" t="s">
        <v>147</v>
      </c>
      <c r="F3" s="54"/>
      <c r="G3" s="54"/>
      <c r="H3" s="54"/>
    </row>
    <row r="7" spans="2:13" ht="21" x14ac:dyDescent="0.35">
      <c r="B7" s="66" t="s">
        <v>92</v>
      </c>
      <c r="C7" s="66"/>
      <c r="D7" s="66"/>
      <c r="E7" s="66"/>
      <c r="F7" s="66"/>
      <c r="G7" s="66"/>
    </row>
    <row r="9" spans="2:13" x14ac:dyDescent="0.25">
      <c r="B9" t="s">
        <v>121</v>
      </c>
      <c r="D9" s="5" t="s">
        <v>1</v>
      </c>
      <c r="E9" s="12">
        <f>LOAN</f>
        <v>71400</v>
      </c>
      <c r="I9" s="58" t="s">
        <v>127</v>
      </c>
      <c r="J9" s="58"/>
      <c r="L9" s="59" t="s">
        <v>128</v>
      </c>
      <c r="M9" s="59"/>
    </row>
    <row r="10" spans="2:13" x14ac:dyDescent="0.25">
      <c r="I10" s="58"/>
      <c r="J10" s="58"/>
      <c r="L10" s="59"/>
      <c r="M10" s="59"/>
    </row>
    <row r="11" spans="2:13" x14ac:dyDescent="0.25">
      <c r="B11" s="13" t="s">
        <v>27</v>
      </c>
      <c r="C11" s="13" t="s">
        <v>93</v>
      </c>
      <c r="D11" s="13" t="s">
        <v>94</v>
      </c>
      <c r="E11" s="13" t="s">
        <v>95</v>
      </c>
    </row>
    <row r="13" spans="2:13" x14ac:dyDescent="0.25">
      <c r="B13">
        <v>1</v>
      </c>
      <c r="C13" s="2">
        <f>E9</f>
        <v>71400</v>
      </c>
      <c r="D13" s="2">
        <f>IF(UnosPodataka!M19=0,"",UnosPodataka!$M$19*Anuiteti!$E$9)</f>
        <v>8568</v>
      </c>
      <c r="E13" s="2">
        <f>PMT(UnosPodataka!$M$19,UnosPodataka!$M$21,Anuiteti!$E$9)</f>
        <v>-29727.31721194879</v>
      </c>
    </row>
    <row r="14" spans="2:13" x14ac:dyDescent="0.25">
      <c r="B14">
        <f>IF(B13&lt;UnosPodataka!$M$21,B13+1,"")</f>
        <v>2</v>
      </c>
      <c r="C14" s="2">
        <f>IF(B14&lt;&gt;"",SUM(C13:E13),"")</f>
        <v>50240.682788051214</v>
      </c>
      <c r="D14" s="2">
        <f>IF(B14&lt;&gt;"",C14*UnosPodataka!$M$19,"")</f>
        <v>6028.881934566145</v>
      </c>
      <c r="E14" s="2">
        <f>IF(B14&lt;&gt;"",PMT(UnosPodataka!$M$19,UnosPodataka!$M$21,Anuiteti!$E$9),"")</f>
        <v>-29727.31721194879</v>
      </c>
    </row>
    <row r="15" spans="2:13" x14ac:dyDescent="0.25">
      <c r="B15">
        <f>IF(B14&lt;UnosPodataka!$M$21,B14+1,"")</f>
        <v>3</v>
      </c>
      <c r="C15" s="2">
        <f t="shared" ref="C15:C32" si="0">IF(B15&lt;&gt;"",SUM(C14:E14),"")</f>
        <v>26542.247510668571</v>
      </c>
      <c r="D15" s="2">
        <f>IF(B15&lt;&gt;"",C15*UnosPodataka!$M$19,"")</f>
        <v>3185.0697012802284</v>
      </c>
      <c r="E15" s="2">
        <f>IF(B15&lt;&gt;"",PMT(UnosPodataka!$M$19,UnosPodataka!$M$21,Anuiteti!$E$9),"")</f>
        <v>-29727.31721194879</v>
      </c>
    </row>
    <row r="16" spans="2:13" x14ac:dyDescent="0.25">
      <c r="B16" t="str">
        <f>IF(B15&lt;UnosPodataka!$M$21,B15+1,"")</f>
        <v/>
      </c>
      <c r="C16" s="2" t="str">
        <f t="shared" si="0"/>
        <v/>
      </c>
      <c r="D16" s="2" t="str">
        <f>IF(B16&lt;&gt;"",C16*UnosPodataka!$M$19,"")</f>
        <v/>
      </c>
      <c r="E16" s="2" t="str">
        <f>IF(B16&lt;&gt;"",PMT(UnosPodataka!$M$19,UnosPodataka!$M$21,Anuiteti!$E$9),"")</f>
        <v/>
      </c>
    </row>
    <row r="17" spans="2:5" x14ac:dyDescent="0.25">
      <c r="B17" t="str">
        <f>IF(B16&lt;UnosPodataka!$M$21,B16+1,"")</f>
        <v/>
      </c>
      <c r="C17" s="2" t="str">
        <f t="shared" si="0"/>
        <v/>
      </c>
      <c r="D17" s="2" t="str">
        <f>IF(B17&lt;&gt;"",C17*UnosPodataka!$M$19,"")</f>
        <v/>
      </c>
      <c r="E17" s="2" t="str">
        <f>IF(B17&lt;&gt;"",PMT(UnosPodataka!$M$19,UnosPodataka!$M$21,Anuiteti!$E$9),"")</f>
        <v/>
      </c>
    </row>
    <row r="18" spans="2:5" x14ac:dyDescent="0.25">
      <c r="B18" t="str">
        <f>IF(B17&lt;UnosPodataka!$M$21,B17+1,"")</f>
        <v/>
      </c>
      <c r="C18" s="2" t="str">
        <f t="shared" si="0"/>
        <v/>
      </c>
      <c r="D18" s="2" t="str">
        <f>IF(B18&lt;&gt;"",C18*UnosPodataka!$M$19,"")</f>
        <v/>
      </c>
      <c r="E18" s="2" t="str">
        <f>IF(B18&lt;&gt;"",PMT(UnosPodataka!$M$19,UnosPodataka!$M$21,Anuiteti!$E$9),"")</f>
        <v/>
      </c>
    </row>
    <row r="19" spans="2:5" x14ac:dyDescent="0.25">
      <c r="B19" t="str">
        <f>IF(B18&lt;UnosPodataka!$M$21,B18+1,"")</f>
        <v/>
      </c>
      <c r="C19" s="2" t="str">
        <f t="shared" si="0"/>
        <v/>
      </c>
      <c r="D19" s="2" t="str">
        <f>IF(B19&lt;&gt;"",C19*UnosPodataka!$M$19,"")</f>
        <v/>
      </c>
      <c r="E19" s="2" t="str">
        <f>IF(B19&lt;&gt;"",PMT(UnosPodataka!$M$19,UnosPodataka!$M$21,Anuiteti!$E$9),"")</f>
        <v/>
      </c>
    </row>
    <row r="20" spans="2:5" x14ac:dyDescent="0.25">
      <c r="B20" t="str">
        <f>IF(B19&lt;UnosPodataka!$M$21,B19+1,"")</f>
        <v/>
      </c>
      <c r="C20" s="2" t="str">
        <f t="shared" si="0"/>
        <v/>
      </c>
      <c r="D20" s="2" t="str">
        <f>IF(B20&lt;&gt;"",C20*UnosPodataka!$M$19,"")</f>
        <v/>
      </c>
      <c r="E20" s="2" t="str">
        <f>IF(B20&lt;&gt;"",PMT(UnosPodataka!$M$19,UnosPodataka!$M$21,Anuiteti!$E$9),"")</f>
        <v/>
      </c>
    </row>
    <row r="21" spans="2:5" x14ac:dyDescent="0.25">
      <c r="B21" t="str">
        <f>IF(B20&lt;UnosPodataka!$M$21,B20+1,"")</f>
        <v/>
      </c>
      <c r="C21" s="2" t="str">
        <f t="shared" si="0"/>
        <v/>
      </c>
      <c r="D21" s="2" t="str">
        <f>IF(B21&lt;&gt;"",C21*UnosPodataka!$M$19,"")</f>
        <v/>
      </c>
      <c r="E21" s="2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2" t="str">
        <f t="shared" si="0"/>
        <v/>
      </c>
      <c r="D22" s="2" t="str">
        <f>IF(B22&lt;&gt;"",C22*UnosPodataka!$M$19,"")</f>
        <v/>
      </c>
      <c r="E22" s="2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2" t="str">
        <f t="shared" si="0"/>
        <v/>
      </c>
      <c r="D23" s="2" t="str">
        <f>IF(B23&lt;&gt;"",C23*UnosPodataka!$M$19,"")</f>
        <v/>
      </c>
      <c r="E23" s="2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2" t="str">
        <f t="shared" si="0"/>
        <v/>
      </c>
      <c r="D24" s="2" t="str">
        <f>IF(B24&lt;&gt;"",C24*UnosPodataka!$M$19,"")</f>
        <v/>
      </c>
      <c r="E24" s="2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2" t="str">
        <f t="shared" si="0"/>
        <v/>
      </c>
      <c r="D25" s="2" t="str">
        <f>IF(B25&lt;&gt;"",C25*UnosPodataka!$M$19,"")</f>
        <v/>
      </c>
      <c r="E25" s="2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2" t="str">
        <f t="shared" si="0"/>
        <v/>
      </c>
      <c r="D26" s="2" t="str">
        <f>IF(B26&lt;&gt;"",C26*UnosPodataka!$M$19,"")</f>
        <v/>
      </c>
      <c r="E26" s="2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2" t="str">
        <f t="shared" si="0"/>
        <v/>
      </c>
      <c r="D27" s="2" t="str">
        <f>IF(B27&lt;&gt;"",C27*UnosPodataka!$M$19,"")</f>
        <v/>
      </c>
      <c r="E27" s="2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2" t="str">
        <f t="shared" si="0"/>
        <v/>
      </c>
      <c r="D28" s="2" t="str">
        <f>IF(B28&lt;&gt;"",C28*UnosPodataka!$M$19,"")</f>
        <v/>
      </c>
      <c r="E28" s="2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2" t="str">
        <f t="shared" si="0"/>
        <v/>
      </c>
      <c r="D29" s="2" t="str">
        <f>IF(B29&lt;&gt;"",C29*UnosPodataka!$M$19,"")</f>
        <v/>
      </c>
      <c r="E29" s="2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2" t="str">
        <f t="shared" si="0"/>
        <v/>
      </c>
      <c r="D30" s="2" t="str">
        <f>IF(B30&lt;&gt;"",C30*UnosPodataka!$M$19,"")</f>
        <v/>
      </c>
      <c r="E30" s="2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2" t="str">
        <f t="shared" si="0"/>
        <v/>
      </c>
      <c r="D31" s="2" t="str">
        <f>IF(B31&lt;&gt;"",C31*UnosPodataka!$M$19,"")</f>
        <v/>
      </c>
      <c r="E31" s="2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2" t="str">
        <f t="shared" si="0"/>
        <v/>
      </c>
      <c r="D32" s="2" t="str">
        <f>IF(B32&lt;&gt;"",C32*UnosPodataka!$M$19,"")</f>
        <v/>
      </c>
      <c r="E32" s="2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E3:H3"/>
  </mergeCells>
  <hyperlinks>
    <hyperlink ref="I9:J10" location="Ustede!K3" display="NAZAD" xr:uid="{00000000-0004-0000-0400-000000000000}"/>
    <hyperlink ref="L9:M10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4" t="s">
        <v>147</v>
      </c>
      <c r="G3" s="54"/>
      <c r="H3" s="54"/>
      <c r="I3" s="54"/>
    </row>
    <row r="7" spans="1:25" ht="21" x14ac:dyDescent="0.35">
      <c r="A7" s="66" t="s">
        <v>96</v>
      </c>
      <c r="B7" s="66"/>
      <c r="C7" s="66"/>
      <c r="D7" s="66"/>
      <c r="I7" s="58" t="s">
        <v>127</v>
      </c>
      <c r="J7" s="58"/>
      <c r="N7" s="59" t="s">
        <v>128</v>
      </c>
      <c r="O7" s="59"/>
    </row>
    <row r="9" spans="1:25" x14ac:dyDescent="0.25">
      <c r="A9" s="57" t="s">
        <v>61</v>
      </c>
      <c r="B9" s="57"/>
      <c r="C9" s="57"/>
      <c r="D9" s="57"/>
      <c r="E9" s="13">
        <v>0</v>
      </c>
      <c r="F9" s="13">
        <v>1</v>
      </c>
      <c r="G9" s="13">
        <f>IF(F9&lt;UnosPodataka!$M$24,FinaIndicators!F9+1,"")</f>
        <v>2</v>
      </c>
      <c r="H9" s="13">
        <f>IF(G9&lt;UnosPodataka!$M$24,FinaIndicators!G9+1,"")</f>
        <v>3</v>
      </c>
      <c r="I9" s="13">
        <f>IF(H9&lt;UnosPodataka!$M$24,FinaIndicators!H9+1,"")</f>
        <v>4</v>
      </c>
      <c r="J9" s="13">
        <f>IF(I9&lt;UnosPodataka!$M$24,FinaIndicators!I9+1,"")</f>
        <v>5</v>
      </c>
      <c r="K9" s="13">
        <f>IF(J9&lt;UnosPodataka!$M$24,FinaIndicators!J9+1,"")</f>
        <v>6</v>
      </c>
      <c r="L9" s="13">
        <f>IF(K9&lt;UnosPodataka!$M$24,FinaIndicators!K9+1,"")</f>
        <v>7</v>
      </c>
      <c r="M9" s="13">
        <f>IF(L9&lt;UnosPodataka!$M$24,FinaIndicators!L9+1,"")</f>
        <v>8</v>
      </c>
      <c r="N9" s="13">
        <f>IF(M9&lt;UnosPodataka!$M$24,FinaIndicators!M9+1,"")</f>
        <v>9</v>
      </c>
      <c r="O9" s="13">
        <f>IF(N9&lt;UnosPodataka!$M$24,FinaIndicators!N9+1,"")</f>
        <v>10</v>
      </c>
      <c r="P9" s="13">
        <f>IF(O9&lt;UnosPodataka!$M$24,FinaIndicators!O9+1,"")</f>
        <v>11</v>
      </c>
      <c r="Q9" s="13">
        <f>IF(P9&lt;UnosPodataka!$M$24,FinaIndicators!P9+1,"")</f>
        <v>12</v>
      </c>
      <c r="R9" s="13">
        <f>IF(Q9&lt;UnosPodataka!$M$24,FinaIndicators!Q9+1,"")</f>
        <v>13</v>
      </c>
      <c r="S9" s="13">
        <f>IF(R9&lt;UnosPodataka!$M$24,FinaIndicators!R9+1,"")</f>
        <v>14</v>
      </c>
      <c r="T9" s="13">
        <f>IF(S9&lt;UnosPodataka!$M$24,FinaIndicators!S9+1,"")</f>
        <v>15</v>
      </c>
      <c r="U9" s="13">
        <f>IF(T9&lt;UnosPodataka!$M$24,FinaIndicators!T9+1,"")</f>
        <v>16</v>
      </c>
      <c r="V9" s="13">
        <f>IF(U9&lt;UnosPodataka!$M$24,FinaIndicators!U9+1,"")</f>
        <v>17</v>
      </c>
      <c r="W9" s="13">
        <f>IF(V9&lt;UnosPodataka!$M$24,FinaIndicators!V9+1,"")</f>
        <v>18</v>
      </c>
      <c r="X9" s="13">
        <f>IF(W9&lt;UnosPodataka!$M$24,FinaIndicators!W9+1,"")</f>
        <v>19</v>
      </c>
      <c r="Y9" s="13">
        <f>IF(X9&lt;UnosPodataka!$M$24,FinaIndicators!X9+1,"")</f>
        <v>20</v>
      </c>
    </row>
    <row r="11" spans="1:25" x14ac:dyDescent="0.25">
      <c r="A11" s="62" t="s">
        <v>97</v>
      </c>
      <c r="B11" s="62"/>
      <c r="C11" s="62"/>
      <c r="D11" s="62"/>
      <c r="E11" s="2">
        <f>LOAN</f>
        <v>71400</v>
      </c>
    </row>
    <row r="12" spans="1:25" x14ac:dyDescent="0.25">
      <c r="A12" s="62" t="s">
        <v>98</v>
      </c>
      <c r="B12" s="62"/>
      <c r="C12" s="62"/>
      <c r="D12" s="62"/>
      <c r="E12" s="2">
        <f>IF(Equity=0,LOAN,Equity)</f>
        <v>20000</v>
      </c>
    </row>
    <row r="13" spans="1:25" x14ac:dyDescent="0.25">
      <c r="A13" s="63"/>
      <c r="B13" s="63"/>
      <c r="C13" s="63"/>
      <c r="D13" s="63"/>
    </row>
    <row r="14" spans="1:25" x14ac:dyDescent="0.25">
      <c r="A14" s="62" t="s">
        <v>110</v>
      </c>
      <c r="B14" s="62"/>
      <c r="C14" s="62"/>
      <c r="D14" s="62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57" t="s">
        <v>148</v>
      </c>
      <c r="B16" s="57"/>
      <c r="C16" s="57"/>
      <c r="D16" s="5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2" t="s">
        <v>99</v>
      </c>
      <c r="B17" s="62"/>
      <c r="C17" s="62"/>
      <c r="D17" s="62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x14ac:dyDescent="0.25">
      <c r="A18" s="67" t="s">
        <v>100</v>
      </c>
      <c r="B18" s="67"/>
      <c r="C18" s="67"/>
      <c r="D18" s="67"/>
      <c r="E18" s="37"/>
      <c r="F18" s="38">
        <f t="shared" ref="F18:Y18" si="0">IF(F9&lt;&gt;"",F17,"")</f>
        <v>12103.427463816357</v>
      </c>
      <c r="G18" s="38">
        <f t="shared" si="0"/>
        <v>12103.427463816357</v>
      </c>
      <c r="H18" s="38">
        <f t="shared" si="0"/>
        <v>12103.427463816357</v>
      </c>
      <c r="I18" s="38">
        <f t="shared" si="0"/>
        <v>12103.427463816357</v>
      </c>
      <c r="J18" s="38">
        <f t="shared" si="0"/>
        <v>12103.427463816357</v>
      </c>
      <c r="K18" s="38">
        <f t="shared" si="0"/>
        <v>12103.427463816357</v>
      </c>
      <c r="L18" s="38">
        <f t="shared" si="0"/>
        <v>12103.427463816357</v>
      </c>
      <c r="M18" s="38">
        <f t="shared" si="0"/>
        <v>12103.427463816357</v>
      </c>
      <c r="N18" s="38">
        <f t="shared" si="0"/>
        <v>12103.427463816357</v>
      </c>
      <c r="O18" s="38">
        <f t="shared" si="0"/>
        <v>12103.427463816357</v>
      </c>
      <c r="P18" s="38">
        <f t="shared" si="0"/>
        <v>12103.427463816357</v>
      </c>
      <c r="Q18" s="38">
        <f t="shared" si="0"/>
        <v>12103.427463816357</v>
      </c>
      <c r="R18" s="38">
        <f t="shared" si="0"/>
        <v>12103.427463816357</v>
      </c>
      <c r="S18" s="38">
        <f t="shared" si="0"/>
        <v>12103.427463816357</v>
      </c>
      <c r="T18" s="38">
        <f t="shared" si="0"/>
        <v>12103.427463816357</v>
      </c>
      <c r="U18" s="38">
        <f t="shared" si="0"/>
        <v>12103.427463816357</v>
      </c>
      <c r="V18" s="38">
        <f t="shared" si="0"/>
        <v>12103.427463816357</v>
      </c>
      <c r="W18" s="38">
        <f t="shared" si="0"/>
        <v>12103.427463816357</v>
      </c>
      <c r="X18" s="38">
        <f t="shared" si="0"/>
        <v>12103.427463816357</v>
      </c>
      <c r="Y18" s="38">
        <f t="shared" si="0"/>
        <v>12103.427463816357</v>
      </c>
    </row>
    <row r="19" spans="1:25" x14ac:dyDescent="0.25">
      <c r="A19" s="63"/>
      <c r="B19" s="63"/>
      <c r="C19" s="63"/>
      <c r="D19" s="63"/>
    </row>
    <row r="20" spans="1:25" x14ac:dyDescent="0.25">
      <c r="A20" s="57" t="s">
        <v>149</v>
      </c>
      <c r="B20" s="57"/>
      <c r="C20" s="57"/>
      <c r="D20" s="57"/>
    </row>
    <row r="21" spans="1:25" x14ac:dyDescent="0.25">
      <c r="A21" s="62" t="s">
        <v>101</v>
      </c>
      <c r="B21" s="62"/>
      <c r="C21" s="62"/>
      <c r="D21" s="62"/>
      <c r="F21" s="2">
        <f>IF(F9&gt;UnosPodataka!$M$21,"",-VLOOKUP(F9,Anuiteti!$B$13:$E$32,3,FALSE))</f>
        <v>-8568</v>
      </c>
      <c r="G21" s="2">
        <f>IF(G9&gt;UnosPodataka!$M$21,"",-VLOOKUP(G9,Anuiteti!$B$13:$E$32,3,FALSE))</f>
        <v>-6028.881934566145</v>
      </c>
      <c r="H21" s="2">
        <f>IF(H9&gt;UnosPodataka!$M$21,"",-VLOOKUP(H9,Anuiteti!$B$13:$E$32,3,FALSE))</f>
        <v>-3185.0697012802284</v>
      </c>
      <c r="I21" s="2" t="str">
        <f>IF(I9&gt;UnosPodataka!$M$21,"",-VLOOKUP(I9,Anuiteti!$B$13:$E$32,3,FALSE))</f>
        <v/>
      </c>
      <c r="J21" s="2" t="str">
        <f>IF(J9&gt;UnosPodataka!$M$21,"",-VLOOKUP(J9,Anuiteti!$B$13:$E$32,3,FALSE))</f>
        <v/>
      </c>
      <c r="K21" s="2" t="str">
        <f>IF(K9&gt;UnosPodataka!$M$21,"",-VLOOKUP(K9,Anuiteti!$B$13:$E$32,3,FALSE))</f>
        <v/>
      </c>
      <c r="L21" s="2" t="str">
        <f>IF(L9&gt;UnosPodataka!$M$21,"",-VLOOKUP(L9,Anuiteti!$B$13:$E$32,3,FALSE))</f>
        <v/>
      </c>
      <c r="M21" s="2" t="str">
        <f>IF(M9&gt;UnosPodataka!$M$21,"",-VLOOKUP(M9,Anuiteti!$B$13:$E$32,3,FALSE))</f>
        <v/>
      </c>
      <c r="N21" s="2" t="str">
        <f>IF(N9&gt;UnosPodataka!$M$21,"",-VLOOKUP(N9,Anuiteti!$B$13:$E$32,3,FALSE))</f>
        <v/>
      </c>
      <c r="O21" s="2" t="str">
        <f>IF(O9&gt;UnosPodataka!$M$21,"",-VLOOKUP(O9,Anuiteti!$B$13:$E$32,3,FALSE))</f>
        <v/>
      </c>
      <c r="P21" s="2" t="str">
        <f>IF(P9&gt;UnosPodataka!$M$21,"",-VLOOKUP(P9,Anuiteti!$B$13:$E$32,3,FALSE))</f>
        <v/>
      </c>
      <c r="Q21" s="2" t="str">
        <f>IF(Q9&gt;UnosPodataka!$M$21,"",-VLOOKUP(Q9,Anuiteti!$B$13:$E$32,3,FALSE))</f>
        <v/>
      </c>
      <c r="R21" s="2" t="str">
        <f>IF(R9&gt;UnosPodataka!$M$21,"",-VLOOKUP(R9,Anuiteti!$B$13:$E$32,3,FALSE))</f>
        <v/>
      </c>
      <c r="S21" s="2" t="str">
        <f>IF(S9&gt;UnosPodataka!$M$21,"",-VLOOKUP(S9,Anuiteti!$B$13:$E$32,3,FALSE))</f>
        <v/>
      </c>
      <c r="T21" s="2" t="str">
        <f>IF(T9&gt;UnosPodataka!$M$21,"",-VLOOKUP(T9,Anuiteti!$B$13:$E$32,3,FALSE))</f>
        <v/>
      </c>
      <c r="U21" s="2" t="str">
        <f>IF(U9&gt;UnosPodataka!$M$21,"",-VLOOKUP(U9,Anuiteti!$B$13:$E$32,3,FALSE))</f>
        <v/>
      </c>
      <c r="V21" s="2" t="str">
        <f>IF(V9&gt;UnosPodataka!$M$21,"",-VLOOKUP(V9,Anuiteti!$B$13:$E$32,3,FALSE))</f>
        <v/>
      </c>
      <c r="W21" s="2" t="str">
        <f>IF(W9&gt;UnosPodataka!$M$21,"",-VLOOKUP(W9,Anuiteti!$B$13:$E$32,3,FALSE))</f>
        <v/>
      </c>
      <c r="X21" s="2" t="str">
        <f>IF(X9&gt;UnosPodataka!$M$21,"",-VLOOKUP(X9,Anuiteti!$B$13:$E$32,3,FALSE))</f>
        <v/>
      </c>
      <c r="Y21" s="2" t="str">
        <f>IF(Y9&gt;UnosPodataka!$M$21,"",-VLOOKUP(Y9,Anuiteti!$B$13:$E$32,3,FALSE))</f>
        <v/>
      </c>
    </row>
    <row r="22" spans="1:25" x14ac:dyDescent="0.25">
      <c r="A22" s="22" t="s">
        <v>150</v>
      </c>
      <c r="B22" s="22"/>
      <c r="C22" s="22"/>
      <c r="D22" s="22"/>
      <c r="F22" s="2">
        <f>IF(F21="",0,IF(F9&gt;UnosPodataka!$M$24,"",VLOOKUP(F9,Anuiteti!$B$13:$E$32,4,FALSE)+VLOOKUP(F9,Anuiteti!$B$13:$E$32,3,FALSE)))</f>
        <v>-21159.31721194879</v>
      </c>
      <c r="G22" s="2">
        <f>IF(G21="",0,IF(G9&gt;UnosPodataka!$M$24,"",VLOOKUP(G9,Anuiteti!$B$13:$E$32,4,FALSE)+VLOOKUP(G9,Anuiteti!$B$13:$E$32,3,FALSE)))</f>
        <v>-23698.435277382647</v>
      </c>
      <c r="H22" s="2">
        <f>IF(H21="",0,IF(H9&gt;UnosPodataka!$M$24,"",VLOOKUP(H9,Anuiteti!$B$13:$E$32,4,FALSE)+VLOOKUP(H9,Anuiteti!$B$13:$E$32,3,FALSE)))</f>
        <v>-26542.24751066856</v>
      </c>
      <c r="I22" s="2">
        <f>IF(I21="",0,IF(I9&gt;UnosPodataka!$M$24,"",VLOOKUP(I9,Anuiteti!$B$13:$E$32,4,FALSE)+VLOOKUP(I9,Anuiteti!$B$13:$E$32,3,FALSE)))</f>
        <v>0</v>
      </c>
      <c r="J22" s="2">
        <f>IF(J21="",0,IF(J9&gt;UnosPodataka!$M$24,"",VLOOKUP(J9,Anuiteti!$B$13:$E$32,4,FALSE)+VLOOKUP(J9,Anuiteti!$B$13:$E$32,3,FALSE)))</f>
        <v>0</v>
      </c>
      <c r="K22" s="2">
        <f>IF(K21="",0,IF(K9&gt;UnosPodataka!$M$24,"",VLOOKUP(K9,Anuiteti!$B$13:$E$32,4,FALSE)+VLOOKUP(K9,Anuiteti!$B$13:$E$32,3,FALSE)))</f>
        <v>0</v>
      </c>
      <c r="L22" s="2">
        <f>IF(L21="",0,IF(L9&gt;UnosPodataka!$M$24,"",VLOOKUP(L9,Anuiteti!$B$13:$E$32,4,FALSE)+VLOOKUP(L9,Anuiteti!$B$13:$E$32,3,FALSE)))</f>
        <v>0</v>
      </c>
      <c r="M22" s="2">
        <f>IF(M21="",0,IF(M9&gt;UnosPodataka!$M$24,"",VLOOKUP(M9,Anuiteti!$B$13:$E$32,4,FALSE)+VLOOKUP(M9,Anuiteti!$B$13:$E$32,3,FALSE)))</f>
        <v>0</v>
      </c>
      <c r="N22" s="2">
        <f>IF(N21="",0,IF(N9&gt;UnosPodataka!$M$24,"",VLOOKUP(N9,Anuiteti!$B$13:$E$32,4,FALSE)+VLOOKUP(N9,Anuiteti!$B$13:$E$32,3,FALSE)))</f>
        <v>0</v>
      </c>
      <c r="O22" s="2">
        <f>IF(O21="",0,IF(O9&gt;UnosPodataka!$M$24,"",VLOOKUP(O9,Anuiteti!$B$13:$E$32,4,FALSE)+VLOOKUP(O9,Anuiteti!$B$13:$E$32,3,FALSE)))</f>
        <v>0</v>
      </c>
      <c r="P22" s="2">
        <f>IF(P21="",0,IF(P9&gt;UnosPodataka!$M$24,"",VLOOKUP(P9,Anuiteti!$B$13:$E$32,4,FALSE)+VLOOKUP(P9,Anuiteti!$B$13:$E$32,3,FALSE)))</f>
        <v>0</v>
      </c>
      <c r="Q22" s="2">
        <f>IF(Q21="",0,IF(Q9&gt;UnosPodataka!$M$24,"",VLOOKUP(Q9,Anuiteti!$B$13:$E$32,4,FALSE)+VLOOKUP(Q9,Anuiteti!$B$13:$E$32,3,FALSE)))</f>
        <v>0</v>
      </c>
      <c r="R22" s="2">
        <f>IF(R21="",0,IF(R9&gt;UnosPodataka!$M$24,"",VLOOKUP(R9,Anuiteti!$B$13:$E$32,4,FALSE)+VLOOKUP(R9,Anuiteti!$B$13:$E$32,3,FALSE)))</f>
        <v>0</v>
      </c>
      <c r="S22" s="2">
        <f>IF(S21="",0,IF(S9&gt;UnosPodataka!$M$24,"",VLOOKUP(S9,Anuiteti!$B$13:$E$32,4,FALSE)+VLOOKUP(S9,Anuiteti!$B$13:$E$32,3,FALSE)))</f>
        <v>0</v>
      </c>
      <c r="T22" s="2">
        <f>IF(T21="",0,IF(T9&gt;UnosPodataka!$M$24,"",VLOOKUP(T9,Anuiteti!$B$13:$E$32,4,FALSE)+VLOOKUP(T9,Anuiteti!$B$13:$E$32,3,FALSE)))</f>
        <v>0</v>
      </c>
      <c r="U22" s="2">
        <f>IF(U21="",0,IF(U9&gt;UnosPodataka!$M$24,"",VLOOKUP(U9,Anuiteti!$B$13:$E$32,4,FALSE)+VLOOKUP(U9,Anuiteti!$B$13:$E$32,3,FALSE)))</f>
        <v>0</v>
      </c>
      <c r="V22" s="2">
        <f>IF(V21="",0,IF(V9&gt;UnosPodataka!$M$24,"",VLOOKUP(V9,Anuiteti!$B$13:$E$32,4,FALSE)+VLOOKUP(V9,Anuiteti!$B$13:$E$32,3,FALSE)))</f>
        <v>0</v>
      </c>
      <c r="W22" s="2">
        <f>IF(W21="",0,IF(W9&gt;UnosPodataka!$M$24,"",VLOOKUP(W9,Anuiteti!$B$13:$E$32,4,FALSE)+VLOOKUP(W9,Anuiteti!$B$13:$E$32,3,FALSE)))</f>
        <v>0</v>
      </c>
      <c r="X22" s="2">
        <f>IF(X21="",0,IF(X9&gt;UnosPodataka!$M$24,"",VLOOKUP(X9,Anuiteti!$B$13:$E$32,4,FALSE)+VLOOKUP(X9,Anuiteti!$B$13:$E$32,3,FALSE)))</f>
        <v>0</v>
      </c>
      <c r="Y22" s="2">
        <f>IF(Y21="",0,IF(Y9&gt;UnosPodataka!$M$24,"",VLOOKUP(Y9,Anuiteti!$B$13:$E$32,4,FALSE)+VLOOKUP(Y9,Anuiteti!$B$13:$E$32,3,FALSE)))</f>
        <v>0</v>
      </c>
    </row>
    <row r="23" spans="1:25" x14ac:dyDescent="0.25">
      <c r="A23" s="62" t="s">
        <v>102</v>
      </c>
      <c r="B23" s="62"/>
      <c r="C23" s="62"/>
      <c r="D23" s="62"/>
      <c r="F23" s="2">
        <f>IF(F9&lt;&gt;"",-UnosPodataka!$M$9,"")</f>
        <v>-100</v>
      </c>
      <c r="G23" s="2">
        <f>IF(G9&lt;&gt;"",-UnosPodataka!$M$9,"")</f>
        <v>-100</v>
      </c>
      <c r="H23" s="2">
        <f>IF(H9&lt;&gt;"",-UnosPodataka!$M$9,"")</f>
        <v>-100</v>
      </c>
      <c r="I23" s="2">
        <f>IF(I9&lt;&gt;"",-UnosPodataka!$M$9,"")</f>
        <v>-100</v>
      </c>
      <c r="J23" s="2">
        <f>IF(J9&lt;&gt;"",-UnosPodataka!$M$9,"")</f>
        <v>-100</v>
      </c>
      <c r="K23" s="2">
        <f>IF(K9&lt;&gt;"",-UnosPodataka!$M$9,"")</f>
        <v>-100</v>
      </c>
      <c r="L23" s="2">
        <f>IF(L9&lt;&gt;"",-UnosPodataka!$M$9,"")</f>
        <v>-100</v>
      </c>
      <c r="M23" s="2">
        <f>IF(M9&lt;&gt;"",-UnosPodataka!$M$9,"")</f>
        <v>-100</v>
      </c>
      <c r="N23" s="2">
        <f>IF(N9&lt;&gt;"",-UnosPodataka!$M$9,"")</f>
        <v>-100</v>
      </c>
      <c r="O23" s="2">
        <f>IF(O9&lt;&gt;"",-UnosPodataka!$M$9,"")</f>
        <v>-100</v>
      </c>
      <c r="P23" s="2">
        <f>IF(P9&lt;&gt;"",-UnosPodataka!$M$9,"")</f>
        <v>-100</v>
      </c>
      <c r="Q23" s="2">
        <f>IF(Q9&lt;&gt;"",-UnosPodataka!$M$9,"")</f>
        <v>-100</v>
      </c>
      <c r="R23" s="2">
        <f>IF(R9&lt;&gt;"",-UnosPodataka!$M$9,"")</f>
        <v>-100</v>
      </c>
      <c r="S23" s="2">
        <f>IF(S9&lt;&gt;"",-UnosPodataka!$M$9,"")</f>
        <v>-100</v>
      </c>
      <c r="T23" s="2">
        <f>IF(T9&lt;&gt;"",-UnosPodataka!$M$9,"")</f>
        <v>-100</v>
      </c>
      <c r="U23" s="2">
        <f>IF(U9&lt;&gt;"",-UnosPodataka!$M$9,"")</f>
        <v>-100</v>
      </c>
      <c r="V23" s="2">
        <f>IF(V9&lt;&gt;"",-UnosPodataka!$M$9,"")</f>
        <v>-100</v>
      </c>
      <c r="W23" s="2">
        <f>IF(W9&lt;&gt;"",-UnosPodataka!$M$9,"")</f>
        <v>-100</v>
      </c>
      <c r="X23" s="2">
        <f>IF(X9&lt;&gt;"",-UnosPodataka!$M$9,"")</f>
        <v>-100</v>
      </c>
      <c r="Y23" s="2">
        <f>IF(Y9&lt;&gt;"",-UnosPodataka!$M$9,"")</f>
        <v>-100</v>
      </c>
    </row>
    <row r="24" spans="1:25" x14ac:dyDescent="0.25">
      <c r="A24" s="62" t="s">
        <v>103</v>
      </c>
      <c r="B24" s="62"/>
      <c r="C24" s="62"/>
      <c r="D24" s="62"/>
      <c r="F24" s="2">
        <f>IF(F9&lt;&gt;"",-Investment*UnosPodataka!$M$11,"")</f>
        <v>-2742</v>
      </c>
      <c r="G24" s="2">
        <f>IF(G9&lt;&gt;"",-Investment*UnosPodataka!$M$11,"")</f>
        <v>-2742</v>
      </c>
      <c r="H24" s="2">
        <f>IF(H9&lt;&gt;"",-Investment*UnosPodataka!$M$11,"")</f>
        <v>-2742</v>
      </c>
      <c r="I24" s="2">
        <f>IF(I9&lt;&gt;"",-Investment*UnosPodataka!$M$11,"")</f>
        <v>-2742</v>
      </c>
      <c r="J24" s="2">
        <f>IF(J9&lt;&gt;"",-Investment*UnosPodataka!$M$11,"")</f>
        <v>-2742</v>
      </c>
      <c r="K24" s="2">
        <f>IF(K9&lt;&gt;"",-Investment*UnosPodataka!$M$11,"")</f>
        <v>-2742</v>
      </c>
      <c r="L24" s="2">
        <f>IF(L9&lt;&gt;"",-Investment*UnosPodataka!$M$11,"")</f>
        <v>-2742</v>
      </c>
      <c r="M24" s="2">
        <f>IF(M9&lt;&gt;"",-Investment*UnosPodataka!$M$11,"")</f>
        <v>-2742</v>
      </c>
      <c r="N24" s="2">
        <f>IF(N9&lt;&gt;"",-Investment*UnosPodataka!$M$11,"")</f>
        <v>-2742</v>
      </c>
      <c r="O24" s="2">
        <f>IF(O9&lt;&gt;"",-Investment*UnosPodataka!$M$11,"")</f>
        <v>-2742</v>
      </c>
      <c r="P24" s="2">
        <f>IF(P9&lt;&gt;"",-Investment*UnosPodataka!$M$11,"")</f>
        <v>-2742</v>
      </c>
      <c r="Q24" s="2">
        <f>IF(Q9&lt;&gt;"",-Investment*UnosPodataka!$M$11,"")</f>
        <v>-2742</v>
      </c>
      <c r="R24" s="2">
        <f>IF(R9&lt;&gt;"",-Investment*UnosPodataka!$M$11,"")</f>
        <v>-2742</v>
      </c>
      <c r="S24" s="2">
        <f>IF(S9&lt;&gt;"",-Investment*UnosPodataka!$M$11,"")</f>
        <v>-2742</v>
      </c>
      <c r="T24" s="2">
        <f>IF(T9&lt;&gt;"",-Investment*UnosPodataka!$M$11,"")</f>
        <v>-2742</v>
      </c>
      <c r="U24" s="2">
        <f>IF(U9&lt;&gt;"",-Investment*UnosPodataka!$M$11,"")</f>
        <v>-2742</v>
      </c>
      <c r="V24" s="2">
        <f>IF(V9&lt;&gt;"",-Investment*UnosPodataka!$M$11,"")</f>
        <v>-2742</v>
      </c>
      <c r="W24" s="2">
        <f>IF(W9&lt;&gt;"",-Investment*UnosPodataka!$M$11,"")</f>
        <v>-2742</v>
      </c>
      <c r="X24" s="2">
        <f>IF(X9&lt;&gt;"",-Investment*UnosPodataka!$M$11,"")</f>
        <v>-2742</v>
      </c>
      <c r="Y24" s="2">
        <f>IF(Y9&lt;&gt;"",-Investment*UnosPodataka!$M$11,"")</f>
        <v>-2742</v>
      </c>
    </row>
    <row r="25" spans="1:25" x14ac:dyDescent="0.25">
      <c r="A25" s="62" t="s">
        <v>104</v>
      </c>
      <c r="B25" s="62"/>
      <c r="C25" s="62"/>
      <c r="D25" s="62"/>
      <c r="F25" s="2">
        <f>IF(F9&lt;&gt;"",0,"")</f>
        <v>0</v>
      </c>
      <c r="G25" s="2">
        <f t="shared" ref="G25:Y25" si="1">IF(G9&lt;&gt;"",0,"")</f>
        <v>0</v>
      </c>
      <c r="H25" s="2">
        <f t="shared" si="1"/>
        <v>0</v>
      </c>
      <c r="I25" s="2">
        <f t="shared" si="1"/>
        <v>0</v>
      </c>
      <c r="J25" s="2">
        <f t="shared" si="1"/>
        <v>0</v>
      </c>
      <c r="K25" s="2">
        <f t="shared" si="1"/>
        <v>0</v>
      </c>
      <c r="L25" s="2">
        <f t="shared" si="1"/>
        <v>0</v>
      </c>
      <c r="M25" s="2">
        <f t="shared" si="1"/>
        <v>0</v>
      </c>
      <c r="N25" s="2">
        <f t="shared" si="1"/>
        <v>0</v>
      </c>
      <c r="O25" s="2">
        <f t="shared" si="1"/>
        <v>0</v>
      </c>
      <c r="P25" s="2">
        <f t="shared" si="1"/>
        <v>0</v>
      </c>
      <c r="Q25" s="2">
        <f t="shared" si="1"/>
        <v>0</v>
      </c>
      <c r="R25" s="2">
        <f t="shared" si="1"/>
        <v>0</v>
      </c>
      <c r="S25" s="2">
        <f t="shared" si="1"/>
        <v>0</v>
      </c>
      <c r="T25" s="2">
        <f t="shared" si="1"/>
        <v>0</v>
      </c>
      <c r="U25" s="2">
        <f t="shared" si="1"/>
        <v>0</v>
      </c>
      <c r="V25" s="2">
        <f t="shared" si="1"/>
        <v>0</v>
      </c>
      <c r="W25" s="2">
        <f t="shared" si="1"/>
        <v>0</v>
      </c>
      <c r="X25" s="2">
        <f t="shared" si="1"/>
        <v>0</v>
      </c>
      <c r="Y25" s="2">
        <f t="shared" si="1"/>
        <v>0</v>
      </c>
    </row>
    <row r="26" spans="1:25" x14ac:dyDescent="0.25">
      <c r="A26" s="62" t="s">
        <v>151</v>
      </c>
      <c r="B26" s="62"/>
      <c r="C26" s="62"/>
      <c r="D26" s="62"/>
      <c r="F26" s="2">
        <f>IF(F9&lt;&gt;"",-Investment*UnosPodataka!$M$12,"")</f>
        <v>-2285</v>
      </c>
      <c r="G26" s="2">
        <f>IF(G9&lt;&gt;"",-Investment*UnosPodataka!$M$12,"")</f>
        <v>-2285</v>
      </c>
      <c r="H26" s="2">
        <f>IF(H9&lt;&gt;"",-Investment*UnosPodataka!$M$12,"")</f>
        <v>-2285</v>
      </c>
      <c r="I26" s="2">
        <f>IF(I9&lt;&gt;"",-Investment*UnosPodataka!$M$12,"")</f>
        <v>-2285</v>
      </c>
      <c r="J26" s="2">
        <f>IF(J9&lt;&gt;"",-Investment*UnosPodataka!$M$12,"")</f>
        <v>-2285</v>
      </c>
      <c r="K26" s="2">
        <f>IF(K9&lt;&gt;"",-Investment*UnosPodataka!$M$12,"")</f>
        <v>-2285</v>
      </c>
      <c r="L26" s="2">
        <f>IF(L9&lt;&gt;"",-Investment*UnosPodataka!$M$12,"")</f>
        <v>-2285</v>
      </c>
      <c r="M26" s="2">
        <f>IF(M9&lt;&gt;"",-Investment*UnosPodataka!$M$12,"")</f>
        <v>-2285</v>
      </c>
      <c r="N26" s="2">
        <f>IF(N9&lt;&gt;"",-Investment*UnosPodataka!$M$12,"")</f>
        <v>-2285</v>
      </c>
      <c r="O26" s="2">
        <f>IF(O9&lt;&gt;"",-Investment*UnosPodataka!$M$12,"")</f>
        <v>-2285</v>
      </c>
      <c r="P26" s="2">
        <f>IF(P9&lt;&gt;"",-Investment*UnosPodataka!$M$12,"")</f>
        <v>-2285</v>
      </c>
      <c r="Q26" s="2">
        <f>IF(Q9&lt;&gt;"",-Investment*UnosPodataka!$M$12,"")</f>
        <v>-2285</v>
      </c>
      <c r="R26" s="2">
        <f>IF(R9&lt;&gt;"",-Investment*UnosPodataka!$M$12,"")</f>
        <v>-2285</v>
      </c>
      <c r="S26" s="2">
        <f>IF(S9&lt;&gt;"",-Investment*UnosPodataka!$M$12,"")</f>
        <v>-2285</v>
      </c>
      <c r="T26" s="2">
        <f>IF(T9&lt;&gt;"",-Investment*UnosPodataka!$M$12,"")</f>
        <v>-2285</v>
      </c>
      <c r="U26" s="2">
        <f>IF(U9&lt;&gt;"",-Investment*UnosPodataka!$M$12,"")</f>
        <v>-2285</v>
      </c>
      <c r="V26" s="2">
        <f>IF(V9&lt;&gt;"",-Investment*UnosPodataka!$M$12,"")</f>
        <v>-2285</v>
      </c>
      <c r="W26" s="2">
        <f>IF(W9&lt;&gt;"",-Investment*UnosPodataka!$M$12,"")</f>
        <v>-2285</v>
      </c>
      <c r="X26" s="2">
        <f>IF(X9&lt;&gt;"",-Investment*UnosPodataka!$M$12,"")</f>
        <v>-2285</v>
      </c>
      <c r="Y26" s="2">
        <f>IF(Y9&lt;&gt;"",-Investment*UnosPodataka!$M$12,"")</f>
        <v>-2285</v>
      </c>
    </row>
    <row r="27" spans="1:25" x14ac:dyDescent="0.25">
      <c r="A27" s="62" t="s">
        <v>130</v>
      </c>
      <c r="B27" s="62"/>
      <c r="C27" s="62"/>
      <c r="D27" s="62"/>
      <c r="F27" s="2">
        <f>IF(F9&lt;&gt;"",-(1-UnosPodataka!$M$10)*FinaIndicators!F18,"")</f>
        <v>0</v>
      </c>
      <c r="G27" s="2">
        <f>IF(G9&lt;&gt;"",-(1-UnosPodataka!$M$10)*FinaIndicators!G18,"")</f>
        <v>0</v>
      </c>
      <c r="H27" s="2">
        <f>IF(H9&lt;&gt;"",-(1-UnosPodataka!$M$10)*FinaIndicators!H18,"")</f>
        <v>0</v>
      </c>
      <c r="I27" s="2">
        <f>IF(I9&lt;&gt;"",-(1-UnosPodataka!$M$10)*FinaIndicators!I18,"")</f>
        <v>0</v>
      </c>
      <c r="J27" s="2">
        <f>IF(J9&lt;&gt;"",-(1-UnosPodataka!$M$10)*FinaIndicators!J18,"")</f>
        <v>0</v>
      </c>
      <c r="K27" s="2">
        <f>IF(K9&lt;&gt;"",-(1-UnosPodataka!$M$10)*FinaIndicators!K18,"")</f>
        <v>0</v>
      </c>
      <c r="L27" s="2">
        <f>IF(L9&lt;&gt;"",-(1-UnosPodataka!$M$10)*FinaIndicators!L18,"")</f>
        <v>0</v>
      </c>
      <c r="M27" s="2">
        <f>IF(M9&lt;&gt;"",-(1-UnosPodataka!$M$10)*FinaIndicators!M18,"")</f>
        <v>0</v>
      </c>
      <c r="N27" s="2">
        <f>IF(N9&lt;&gt;"",-(1-UnosPodataka!$M$10)*FinaIndicators!N18,"")</f>
        <v>0</v>
      </c>
      <c r="O27" s="2">
        <f>IF(O9&lt;&gt;"",-(1-UnosPodataka!$M$10)*FinaIndicators!O18,"")</f>
        <v>0</v>
      </c>
      <c r="P27" s="2">
        <f>IF(P9&lt;&gt;"",-(1-UnosPodataka!$M$10)*FinaIndicators!P18,"")</f>
        <v>0</v>
      </c>
      <c r="Q27" s="2">
        <f>IF(Q9&lt;&gt;"",-(1-UnosPodataka!$M$10)*FinaIndicators!Q18,"")</f>
        <v>0</v>
      </c>
      <c r="R27" s="2">
        <f>IF(R9&lt;&gt;"",-(1-UnosPodataka!$M$10)*FinaIndicators!R18,"")</f>
        <v>0</v>
      </c>
      <c r="S27" s="2">
        <f>IF(S9&lt;&gt;"",-(1-UnosPodataka!$M$10)*FinaIndicators!S18,"")</f>
        <v>0</v>
      </c>
      <c r="T27" s="2">
        <f>IF(T9&lt;&gt;"",-(1-UnosPodataka!$M$10)*FinaIndicators!T18,"")</f>
        <v>0</v>
      </c>
      <c r="U27" s="2">
        <f>IF(U9&lt;&gt;"",-(1-UnosPodataka!$M$10)*FinaIndicators!U18,"")</f>
        <v>0</v>
      </c>
      <c r="V27" s="2">
        <f>IF(V9&lt;&gt;"",-(1-UnosPodataka!$M$10)*FinaIndicators!V18,"")</f>
        <v>0</v>
      </c>
      <c r="W27" s="2">
        <f>IF(W9&lt;&gt;"",-(1-UnosPodataka!$M$10)*FinaIndicators!W18,"")</f>
        <v>0</v>
      </c>
      <c r="X27" s="2">
        <f>IF(X9&lt;&gt;"",-(1-UnosPodataka!$M$10)*FinaIndicators!X18,"")</f>
        <v>0</v>
      </c>
      <c r="Y27" s="2">
        <f>IF(Y9&lt;&gt;"",-(1-UnosPodataka!$M$10)*FinaIndicators!Y18,"")</f>
        <v>0</v>
      </c>
    </row>
    <row r="28" spans="1:25" x14ac:dyDescent="0.25">
      <c r="A28" s="67" t="s">
        <v>105</v>
      </c>
      <c r="B28" s="67"/>
      <c r="C28" s="67"/>
      <c r="D28" s="67"/>
      <c r="E28" s="37"/>
      <c r="F28" s="38">
        <f>IF(F9&lt;&gt;"",SUM(F21:F27),"")</f>
        <v>-34854.317211948786</v>
      </c>
      <c r="G28" s="38">
        <f t="shared" ref="G28:Y28" si="2">IF(G9&lt;&gt;"",SUM(G21:G27),"")</f>
        <v>-34854.317211948794</v>
      </c>
      <c r="H28" s="38">
        <f t="shared" si="2"/>
        <v>-34854.317211948786</v>
      </c>
      <c r="I28" s="38">
        <f t="shared" si="2"/>
        <v>-5127</v>
      </c>
      <c r="J28" s="38">
        <f t="shared" si="2"/>
        <v>-5127</v>
      </c>
      <c r="K28" s="38">
        <f t="shared" si="2"/>
        <v>-5127</v>
      </c>
      <c r="L28" s="38">
        <f t="shared" si="2"/>
        <v>-5127</v>
      </c>
      <c r="M28" s="38">
        <f t="shared" si="2"/>
        <v>-5127</v>
      </c>
      <c r="N28" s="38">
        <f t="shared" si="2"/>
        <v>-5127</v>
      </c>
      <c r="O28" s="38">
        <f t="shared" si="2"/>
        <v>-5127</v>
      </c>
      <c r="P28" s="38">
        <f t="shared" si="2"/>
        <v>-5127</v>
      </c>
      <c r="Q28" s="38">
        <f t="shared" si="2"/>
        <v>-5127</v>
      </c>
      <c r="R28" s="38">
        <f t="shared" si="2"/>
        <v>-5127</v>
      </c>
      <c r="S28" s="38">
        <f t="shared" si="2"/>
        <v>-5127</v>
      </c>
      <c r="T28" s="38">
        <f t="shared" si="2"/>
        <v>-5127</v>
      </c>
      <c r="U28" s="38">
        <f t="shared" si="2"/>
        <v>-5127</v>
      </c>
      <c r="V28" s="38">
        <f t="shared" si="2"/>
        <v>-5127</v>
      </c>
      <c r="W28" s="38">
        <f t="shared" si="2"/>
        <v>-5127</v>
      </c>
      <c r="X28" s="38">
        <f t="shared" si="2"/>
        <v>-5127</v>
      </c>
      <c r="Y28" s="38">
        <f t="shared" si="2"/>
        <v>-5127</v>
      </c>
    </row>
    <row r="30" spans="1:25" x14ac:dyDescent="0.25">
      <c r="A30" t="s">
        <v>152</v>
      </c>
      <c r="E30" s="2">
        <f>-SUM(E11:E13)</f>
        <v>-91400</v>
      </c>
      <c r="F30" s="2">
        <f>+F28-F26-F33</f>
        <v>-32569.317211948786</v>
      </c>
      <c r="G30" s="2">
        <f t="shared" ref="G30:Y30" si="3">+G28-G26-G33</f>
        <v>-32711.449041336324</v>
      </c>
      <c r="H30" s="2">
        <f t="shared" si="3"/>
        <v>-33138.020876329203</v>
      </c>
      <c r="I30" s="2">
        <f t="shared" si="3"/>
        <v>-3888.4641195724535</v>
      </c>
      <c r="J30" s="2">
        <f t="shared" si="3"/>
        <v>-3888.4641195724535</v>
      </c>
      <c r="K30" s="2">
        <f t="shared" si="3"/>
        <v>-3888.4641195724535</v>
      </c>
      <c r="L30" s="2">
        <f t="shared" si="3"/>
        <v>-3888.4641195724535</v>
      </c>
      <c r="M30" s="2">
        <f t="shared" si="3"/>
        <v>-3888.4641195724535</v>
      </c>
      <c r="N30" s="2">
        <f t="shared" si="3"/>
        <v>-3888.4641195724535</v>
      </c>
      <c r="O30" s="2">
        <f t="shared" si="3"/>
        <v>-3888.4641195724535</v>
      </c>
      <c r="P30" s="2">
        <f t="shared" si="3"/>
        <v>-3888.4641195724535</v>
      </c>
      <c r="Q30" s="2">
        <f t="shared" si="3"/>
        <v>-3888.4641195724535</v>
      </c>
      <c r="R30" s="2">
        <f t="shared" si="3"/>
        <v>-3888.4641195724535</v>
      </c>
      <c r="S30" s="2">
        <f t="shared" si="3"/>
        <v>-3888.4641195724535</v>
      </c>
      <c r="T30" s="2">
        <f t="shared" si="3"/>
        <v>-3888.4641195724535</v>
      </c>
      <c r="U30" s="2">
        <f t="shared" si="3"/>
        <v>-3888.4641195724535</v>
      </c>
      <c r="V30" s="2">
        <f t="shared" si="3"/>
        <v>-3888.4641195724535</v>
      </c>
      <c r="W30" s="2">
        <f t="shared" si="3"/>
        <v>-3888.4641195724535</v>
      </c>
      <c r="X30" s="2">
        <f t="shared" si="3"/>
        <v>-3888.4641195724535</v>
      </c>
      <c r="Y30" s="2">
        <f t="shared" si="3"/>
        <v>-3888.4641195724535</v>
      </c>
    </row>
    <row r="31" spans="1:25" x14ac:dyDescent="0.25">
      <c r="A31" s="57" t="s">
        <v>153</v>
      </c>
      <c r="B31" s="57"/>
      <c r="C31" s="57"/>
      <c r="D31" s="57"/>
      <c r="F31" s="2">
        <f>IF(F9&lt;&gt;"",F18+F28-F22,"")</f>
        <v>-1591.5725361836412</v>
      </c>
      <c r="G31" s="2">
        <f t="shared" ref="G31:Y31" si="4">IF(G9&lt;&gt;"",G18+G28-G22,"")</f>
        <v>947.54552925020835</v>
      </c>
      <c r="H31" s="2">
        <f t="shared" si="4"/>
        <v>3791.3577625361286</v>
      </c>
      <c r="I31" s="2">
        <f t="shared" si="4"/>
        <v>6976.427463816357</v>
      </c>
      <c r="J31" s="2">
        <f t="shared" si="4"/>
        <v>6976.427463816357</v>
      </c>
      <c r="K31" s="2">
        <f t="shared" si="4"/>
        <v>6976.427463816357</v>
      </c>
      <c r="L31" s="2">
        <f t="shared" si="4"/>
        <v>6976.427463816357</v>
      </c>
      <c r="M31" s="2">
        <f t="shared" si="4"/>
        <v>6976.427463816357</v>
      </c>
      <c r="N31" s="2">
        <f t="shared" si="4"/>
        <v>6976.427463816357</v>
      </c>
      <c r="O31" s="2">
        <f t="shared" si="4"/>
        <v>6976.427463816357</v>
      </c>
      <c r="P31" s="2">
        <f t="shared" si="4"/>
        <v>6976.427463816357</v>
      </c>
      <c r="Q31" s="2">
        <f t="shared" si="4"/>
        <v>6976.427463816357</v>
      </c>
      <c r="R31" s="2">
        <f t="shared" si="4"/>
        <v>6976.427463816357</v>
      </c>
      <c r="S31" s="2">
        <f t="shared" si="4"/>
        <v>6976.427463816357</v>
      </c>
      <c r="T31" s="2">
        <f t="shared" si="4"/>
        <v>6976.427463816357</v>
      </c>
      <c r="U31" s="2">
        <f t="shared" si="4"/>
        <v>6976.427463816357</v>
      </c>
      <c r="V31" s="2">
        <f t="shared" si="4"/>
        <v>6976.427463816357</v>
      </c>
      <c r="W31" s="2">
        <f t="shared" si="4"/>
        <v>6976.427463816357</v>
      </c>
      <c r="X31" s="2">
        <f t="shared" si="4"/>
        <v>6976.427463816357</v>
      </c>
      <c r="Y31" s="2">
        <f t="shared" si="4"/>
        <v>6976.427463816357</v>
      </c>
    </row>
    <row r="32" spans="1:25" x14ac:dyDescent="0.25">
      <c r="A32" s="63"/>
      <c r="B32" s="63"/>
      <c r="C32" s="63"/>
      <c r="D32" s="63"/>
    </row>
    <row r="33" spans="1:25" x14ac:dyDescent="0.25">
      <c r="A33" s="62" t="s">
        <v>106</v>
      </c>
      <c r="B33" s="62"/>
      <c r="C33" s="62"/>
      <c r="D33" s="62"/>
      <c r="F33" s="2">
        <f>IF(F9&lt;&gt;"",IF(F31&gt;0,F31*VAT,0),"")</f>
        <v>0</v>
      </c>
      <c r="G33" s="2">
        <f t="shared" ref="G33:Y33" si="5">IF(G9&lt;&gt;"",IF(G31&gt;0,G31*VAT,0),"")</f>
        <v>142.13182938753124</v>
      </c>
      <c r="H33" s="2">
        <f t="shared" si="5"/>
        <v>568.70366438041924</v>
      </c>
      <c r="I33" s="2">
        <f t="shared" si="5"/>
        <v>1046.4641195724535</v>
      </c>
      <c r="J33" s="2">
        <f t="shared" si="5"/>
        <v>1046.4641195724535</v>
      </c>
      <c r="K33" s="2">
        <f t="shared" si="5"/>
        <v>1046.4641195724535</v>
      </c>
      <c r="L33" s="2">
        <f t="shared" si="5"/>
        <v>1046.4641195724535</v>
      </c>
      <c r="M33" s="2">
        <f t="shared" si="5"/>
        <v>1046.4641195724535</v>
      </c>
      <c r="N33" s="2">
        <f t="shared" si="5"/>
        <v>1046.4641195724535</v>
      </c>
      <c r="O33" s="2">
        <f t="shared" si="5"/>
        <v>1046.4641195724535</v>
      </c>
      <c r="P33" s="2">
        <f t="shared" si="5"/>
        <v>1046.4641195724535</v>
      </c>
      <c r="Q33" s="2">
        <f t="shared" si="5"/>
        <v>1046.4641195724535</v>
      </c>
      <c r="R33" s="2">
        <f t="shared" si="5"/>
        <v>1046.4641195724535</v>
      </c>
      <c r="S33" s="2">
        <f t="shared" si="5"/>
        <v>1046.4641195724535</v>
      </c>
      <c r="T33" s="2">
        <f t="shared" si="5"/>
        <v>1046.4641195724535</v>
      </c>
      <c r="U33" s="2">
        <f t="shared" si="5"/>
        <v>1046.4641195724535</v>
      </c>
      <c r="V33" s="2">
        <f t="shared" si="5"/>
        <v>1046.4641195724535</v>
      </c>
      <c r="W33" s="2">
        <f t="shared" si="5"/>
        <v>1046.4641195724535</v>
      </c>
      <c r="X33" s="2">
        <f t="shared" si="5"/>
        <v>1046.4641195724535</v>
      </c>
      <c r="Y33" s="2">
        <f t="shared" si="5"/>
        <v>1046.4641195724535</v>
      </c>
    </row>
    <row r="34" spans="1:25" x14ac:dyDescent="0.25">
      <c r="A34" s="57" t="s">
        <v>107</v>
      </c>
      <c r="B34" s="57"/>
      <c r="C34" s="57"/>
      <c r="D34" s="57"/>
      <c r="E34" s="2"/>
      <c r="F34" s="2">
        <f>IF(F9&lt;&gt;"",F31-F33,"")</f>
        <v>-1591.5725361836412</v>
      </c>
      <c r="G34" s="2">
        <f t="shared" ref="G34:Y34" si="6">IF(G9&lt;&gt;"",G31-G33,"")</f>
        <v>805.41369986267705</v>
      </c>
      <c r="H34" s="2">
        <f t="shared" si="6"/>
        <v>3222.6540981557091</v>
      </c>
      <c r="I34" s="2">
        <f t="shared" si="6"/>
        <v>5929.9633442439035</v>
      </c>
      <c r="J34" s="2">
        <f t="shared" si="6"/>
        <v>5929.9633442439035</v>
      </c>
      <c r="K34" s="2">
        <f t="shared" si="6"/>
        <v>5929.9633442439035</v>
      </c>
      <c r="L34" s="2">
        <f t="shared" si="6"/>
        <v>5929.9633442439035</v>
      </c>
      <c r="M34" s="2">
        <f t="shared" si="6"/>
        <v>5929.9633442439035</v>
      </c>
      <c r="N34" s="2">
        <f t="shared" si="6"/>
        <v>5929.9633442439035</v>
      </c>
      <c r="O34" s="2">
        <f t="shared" si="6"/>
        <v>5929.9633442439035</v>
      </c>
      <c r="P34" s="2">
        <f t="shared" si="6"/>
        <v>5929.9633442439035</v>
      </c>
      <c r="Q34" s="2">
        <f t="shared" si="6"/>
        <v>5929.9633442439035</v>
      </c>
      <c r="R34" s="2">
        <f t="shared" si="6"/>
        <v>5929.9633442439035</v>
      </c>
      <c r="S34" s="2">
        <f t="shared" si="6"/>
        <v>5929.9633442439035</v>
      </c>
      <c r="T34" s="2">
        <f t="shared" si="6"/>
        <v>5929.9633442439035</v>
      </c>
      <c r="U34" s="2">
        <f t="shared" si="6"/>
        <v>5929.9633442439035</v>
      </c>
      <c r="V34" s="2">
        <f t="shared" si="6"/>
        <v>5929.9633442439035</v>
      </c>
      <c r="W34" s="2">
        <f t="shared" si="6"/>
        <v>5929.9633442439035</v>
      </c>
      <c r="X34" s="2">
        <f t="shared" si="6"/>
        <v>5929.9633442439035</v>
      </c>
      <c r="Y34" s="2">
        <f t="shared" si="6"/>
        <v>5929.9633442439035</v>
      </c>
    </row>
    <row r="36" spans="1:25" x14ac:dyDescent="0.25">
      <c r="A36" s="40" t="s">
        <v>162</v>
      </c>
      <c r="E36" s="2">
        <f>-SUM(E11:E13)</f>
        <v>-91400</v>
      </c>
      <c r="F36" s="2">
        <f>+F34+F22-F26</f>
        <v>-20465.889748132431</v>
      </c>
      <c r="G36" s="2">
        <f t="shared" ref="G36:Y36" si="7">+G34+G22-G26</f>
        <v>-20608.021577519969</v>
      </c>
      <c r="H36" s="2">
        <f t="shared" si="7"/>
        <v>-21034.593412512852</v>
      </c>
      <c r="I36" s="2">
        <f t="shared" si="7"/>
        <v>8214.9633442439044</v>
      </c>
      <c r="J36" s="2">
        <f t="shared" si="7"/>
        <v>8214.9633442439044</v>
      </c>
      <c r="K36" s="2">
        <f t="shared" si="7"/>
        <v>8214.9633442439044</v>
      </c>
      <c r="L36" s="2">
        <f t="shared" si="7"/>
        <v>8214.9633442439044</v>
      </c>
      <c r="M36" s="2">
        <f t="shared" si="7"/>
        <v>8214.9633442439044</v>
      </c>
      <c r="N36" s="2">
        <f t="shared" si="7"/>
        <v>8214.9633442439044</v>
      </c>
      <c r="O36" s="2">
        <f t="shared" si="7"/>
        <v>8214.9633442439044</v>
      </c>
      <c r="P36" s="2">
        <f t="shared" si="7"/>
        <v>8214.9633442439044</v>
      </c>
      <c r="Q36" s="2">
        <f t="shared" si="7"/>
        <v>8214.9633442439044</v>
      </c>
      <c r="R36" s="2">
        <f t="shared" si="7"/>
        <v>8214.9633442439044</v>
      </c>
      <c r="S36" s="2">
        <f t="shared" si="7"/>
        <v>8214.9633442439044</v>
      </c>
      <c r="T36" s="2">
        <f t="shared" si="7"/>
        <v>8214.9633442439044</v>
      </c>
      <c r="U36" s="2">
        <f t="shared" si="7"/>
        <v>8214.9633442439044</v>
      </c>
      <c r="V36" s="2">
        <f t="shared" si="7"/>
        <v>8214.9633442439044</v>
      </c>
      <c r="W36" s="2">
        <f t="shared" si="7"/>
        <v>8214.9633442439044</v>
      </c>
      <c r="X36" s="2">
        <f t="shared" si="7"/>
        <v>8214.9633442439044</v>
      </c>
      <c r="Y36" s="2">
        <f t="shared" si="7"/>
        <v>8214.9633442439044</v>
      </c>
    </row>
    <row r="37" spans="1:25" x14ac:dyDescent="0.25">
      <c r="A37" s="40" t="s">
        <v>163</v>
      </c>
      <c r="E37" s="2">
        <f>+E36</f>
        <v>-91400</v>
      </c>
      <c r="F37" s="2">
        <f>+E37+F36</f>
        <v>-111865.88974813244</v>
      </c>
      <c r="G37" s="2">
        <f t="shared" ref="G37:Y37" si="8">+F37+G36</f>
        <v>-132473.91132565241</v>
      </c>
      <c r="H37" s="2">
        <f t="shared" si="8"/>
        <v>-153508.50473816527</v>
      </c>
      <c r="I37" s="2">
        <f t="shared" si="8"/>
        <v>-145293.54139392136</v>
      </c>
      <c r="J37" s="2">
        <f t="shared" si="8"/>
        <v>-137078.57804967745</v>
      </c>
      <c r="K37" s="2">
        <f t="shared" si="8"/>
        <v>-128863.61470543355</v>
      </c>
      <c r="L37" s="2">
        <f t="shared" si="8"/>
        <v>-120648.65136118964</v>
      </c>
      <c r="M37" s="2">
        <f t="shared" si="8"/>
        <v>-112433.68801694573</v>
      </c>
      <c r="N37" s="2">
        <f t="shared" si="8"/>
        <v>-104218.72467270182</v>
      </c>
      <c r="O37" s="2">
        <f t="shared" si="8"/>
        <v>-96003.761328457913</v>
      </c>
      <c r="P37" s="2">
        <f t="shared" si="8"/>
        <v>-87788.797984214005</v>
      </c>
      <c r="Q37" s="2">
        <f t="shared" si="8"/>
        <v>-79573.834639970097</v>
      </c>
      <c r="R37" s="2">
        <f t="shared" si="8"/>
        <v>-71358.871295726189</v>
      </c>
      <c r="S37" s="2">
        <f t="shared" si="8"/>
        <v>-63143.907951482281</v>
      </c>
      <c r="T37" s="2">
        <f t="shared" si="8"/>
        <v>-54928.944607238373</v>
      </c>
      <c r="U37" s="2">
        <f t="shared" si="8"/>
        <v>-46713.981262994464</v>
      </c>
      <c r="V37" s="2">
        <f t="shared" si="8"/>
        <v>-38499.017918750556</v>
      </c>
      <c r="W37" s="2">
        <f t="shared" si="8"/>
        <v>-30284.054574506652</v>
      </c>
      <c r="X37" s="2">
        <f t="shared" si="8"/>
        <v>-22069.091230262748</v>
      </c>
      <c r="Y37" s="2">
        <f t="shared" si="8"/>
        <v>-13854.127886018843</v>
      </c>
    </row>
    <row r="38" spans="1:25" x14ac:dyDescent="0.25">
      <c r="A38" s="15"/>
    </row>
    <row r="39" spans="1:25" x14ac:dyDescent="0.25">
      <c r="A39" s="40" t="s">
        <v>62</v>
      </c>
      <c r="E39" s="6">
        <f>+PomTab1!L25</f>
        <v>0.10649890590809628</v>
      </c>
    </row>
    <row r="40" spans="1:25" x14ac:dyDescent="0.25">
      <c r="A40" s="40" t="s">
        <v>164</v>
      </c>
      <c r="E40" s="2">
        <f>IF(E9&lt;&gt;"",E36*(1+$E$39)^-E9,"")</f>
        <v>-91400</v>
      </c>
      <c r="F40" s="2">
        <f>IF(F9&lt;&gt;"",F36*(1+$E$39)^-F9,"")</f>
        <v>-18496.07770857777</v>
      </c>
      <c r="G40" s="2">
        <f t="shared" ref="G40:Y40" si="9">IF(G9&lt;&gt;"",G36*(1+$E$39)^-G9,"")</f>
        <v>-16831.945750000963</v>
      </c>
      <c r="H40" s="2">
        <f t="shared" si="9"/>
        <v>-15526.77126717455</v>
      </c>
      <c r="I40" s="2">
        <f t="shared" si="9"/>
        <v>5480.2664527265679</v>
      </c>
      <c r="J40" s="2">
        <f t="shared" si="9"/>
        <v>4952.7987994068108</v>
      </c>
      <c r="K40" s="2">
        <f t="shared" si="9"/>
        <v>4476.0991384280505</v>
      </c>
      <c r="L40" s="2">
        <f t="shared" si="9"/>
        <v>4045.2811245706071</v>
      </c>
      <c r="M40" s="2">
        <f t="shared" si="9"/>
        <v>3655.9287162156502</v>
      </c>
      <c r="N40" s="2">
        <f t="shared" si="9"/>
        <v>3304.0509093095343</v>
      </c>
      <c r="O40" s="2">
        <f t="shared" si="9"/>
        <v>2986.0408281180557</v>
      </c>
      <c r="P40" s="2">
        <f t="shared" si="9"/>
        <v>2698.6387534359387</v>
      </c>
      <c r="Q40" s="2">
        <f t="shared" si="9"/>
        <v>2438.8987092772445</v>
      </c>
      <c r="R40" s="2">
        <f t="shared" si="9"/>
        <v>2204.1582655480865</v>
      </c>
      <c r="S40" s="2">
        <f t="shared" si="9"/>
        <v>1992.0112471680652</v>
      </c>
      <c r="T40" s="2">
        <f t="shared" si="9"/>
        <v>1800.2830698989574</v>
      </c>
      <c r="U40" s="2">
        <f t="shared" si="9"/>
        <v>1627.0084500639225</v>
      </c>
      <c r="V40" s="2">
        <f t="shared" si="9"/>
        <v>1470.4112596737252</v>
      </c>
      <c r="W40" s="2">
        <f t="shared" si="9"/>
        <v>1328.8863204676813</v>
      </c>
      <c r="X40" s="2">
        <f t="shared" si="9"/>
        <v>1200.9829502516075</v>
      </c>
      <c r="Y40" s="2">
        <f t="shared" si="9"/>
        <v>1085.3900928767471</v>
      </c>
    </row>
    <row r="41" spans="1:25" x14ac:dyDescent="0.25">
      <c r="A41" s="40" t="s">
        <v>165</v>
      </c>
      <c r="E41" s="2">
        <f>+E40</f>
        <v>-91400</v>
      </c>
      <c r="F41" s="2">
        <f>+E41+F40</f>
        <v>-109896.07770857777</v>
      </c>
      <c r="G41" s="2">
        <f t="shared" ref="G41:Y41" si="10">+F41+G40</f>
        <v>-126728.02345857873</v>
      </c>
      <c r="H41" s="2">
        <f t="shared" si="10"/>
        <v>-142254.79472575328</v>
      </c>
      <c r="I41" s="2">
        <f t="shared" si="10"/>
        <v>-136774.52827302672</v>
      </c>
      <c r="J41" s="2">
        <f t="shared" si="10"/>
        <v>-131821.7294736199</v>
      </c>
      <c r="K41" s="2">
        <f t="shared" si="10"/>
        <v>-127345.63033519185</v>
      </c>
      <c r="L41" s="2">
        <f t="shared" si="10"/>
        <v>-123300.34921062124</v>
      </c>
      <c r="M41" s="2">
        <f t="shared" si="10"/>
        <v>-119644.42049440558</v>
      </c>
      <c r="N41" s="2">
        <f t="shared" si="10"/>
        <v>-116340.36958509605</v>
      </c>
      <c r="O41" s="2">
        <f t="shared" si="10"/>
        <v>-113354.32875697799</v>
      </c>
      <c r="P41" s="2">
        <f t="shared" si="10"/>
        <v>-110655.69000354205</v>
      </c>
      <c r="Q41" s="2">
        <f t="shared" si="10"/>
        <v>-108216.79129426481</v>
      </c>
      <c r="R41" s="2">
        <f t="shared" si="10"/>
        <v>-106012.63302871672</v>
      </c>
      <c r="S41" s="2">
        <f t="shared" si="10"/>
        <v>-104020.62178154866</v>
      </c>
      <c r="T41" s="2">
        <f t="shared" si="10"/>
        <v>-102220.3387116497</v>
      </c>
      <c r="U41" s="2">
        <f t="shared" si="10"/>
        <v>-100593.33026158578</v>
      </c>
      <c r="V41" s="2">
        <f t="shared" si="10"/>
        <v>-99122.919001912058</v>
      </c>
      <c r="W41" s="2">
        <f t="shared" si="10"/>
        <v>-97794.032681444383</v>
      </c>
      <c r="X41" s="2">
        <f t="shared" si="10"/>
        <v>-96593.049731192776</v>
      </c>
      <c r="Y41" s="2">
        <f t="shared" si="10"/>
        <v>-95507.659638316021</v>
      </c>
    </row>
    <row r="42" spans="1:25" x14ac:dyDescent="0.25">
      <c r="A42" s="40"/>
    </row>
    <row r="43" spans="1:25" x14ac:dyDescent="0.25">
      <c r="A43" s="41" t="s">
        <v>166</v>
      </c>
      <c r="B43" s="45"/>
      <c r="C43" s="45"/>
      <c r="D43" s="45"/>
      <c r="E43" s="42">
        <f>+NPV(E39,E36:Y36)</f>
        <v>-86315.186692329866</v>
      </c>
    </row>
    <row r="44" spans="1:25" x14ac:dyDescent="0.25">
      <c r="A44" s="41" t="s">
        <v>167</v>
      </c>
      <c r="B44" s="45"/>
      <c r="C44" s="45"/>
      <c r="D44" s="45"/>
      <c r="E44" s="43">
        <f>+IRR(E36:Y36,10%)</f>
        <v>-8.3483484330221236E-3</v>
      </c>
    </row>
    <row r="45" spans="1:25" x14ac:dyDescent="0.25">
      <c r="A45" s="41" t="s">
        <v>168</v>
      </c>
      <c r="B45" s="45"/>
      <c r="C45" s="45"/>
      <c r="D45" s="45"/>
      <c r="E45" s="42" cm="1">
        <f t="array" ref="E45">+NPV(E39,F18:Y18/-NPV(E39,E30:Y30))</f>
        <v>0.56215513724864818</v>
      </c>
    </row>
    <row r="46" spans="1:25" x14ac:dyDescent="0.25">
      <c r="A46" s="41" t="s">
        <v>169</v>
      </c>
      <c r="B46" s="45"/>
      <c r="C46" s="45"/>
      <c r="D46" s="45"/>
      <c r="E46" s="44" t="e" cm="1">
        <f t="array" ref="E46">+LOOKUP(INDEX(E37:Y37,MATCH(TRUE,E37:Y37&gt;0,0)),E37:Y37,E9:Y9)</f>
        <v>#N/A</v>
      </c>
    </row>
    <row r="47" spans="1:25" x14ac:dyDescent="0.25">
      <c r="A47" s="41" t="s">
        <v>170</v>
      </c>
      <c r="B47" s="45"/>
      <c r="C47" s="45"/>
      <c r="D47" s="45"/>
      <c r="E47" s="44" t="e" cm="1">
        <f t="array" ref="E47">+LOOKUP(INDEX(E41:Y41,MATCH(TRUE,E41:Y41&gt;0,0)),E41:Y41,E9:Y9)</f>
        <v>#N/A</v>
      </c>
    </row>
    <row r="50" spans="1:26" x14ac:dyDescent="0.25">
      <c r="A50" s="62" t="s">
        <v>154</v>
      </c>
      <c r="B50" s="62"/>
      <c r="C50" s="62"/>
      <c r="D50" s="62"/>
      <c r="E50" s="2">
        <f>-SUM(E11:E13)</f>
        <v>-91400</v>
      </c>
      <c r="F50" s="2">
        <f t="shared" ref="F50:Y50" si="11">IF(F9&lt;&gt;"",F28,"")</f>
        <v>-34854.317211948786</v>
      </c>
      <c r="G50" s="2">
        <f t="shared" si="11"/>
        <v>-34854.317211948794</v>
      </c>
      <c r="H50" s="2">
        <f t="shared" si="11"/>
        <v>-34854.317211948786</v>
      </c>
      <c r="I50" s="2">
        <f t="shared" si="11"/>
        <v>-5127</v>
      </c>
      <c r="J50" s="2">
        <f t="shared" si="11"/>
        <v>-5127</v>
      </c>
      <c r="K50" s="2">
        <f t="shared" si="11"/>
        <v>-5127</v>
      </c>
      <c r="L50" s="2">
        <f t="shared" si="11"/>
        <v>-5127</v>
      </c>
      <c r="M50" s="2">
        <f t="shared" si="11"/>
        <v>-5127</v>
      </c>
      <c r="N50" s="2">
        <f t="shared" si="11"/>
        <v>-5127</v>
      </c>
      <c r="O50" s="2">
        <f t="shared" si="11"/>
        <v>-5127</v>
      </c>
      <c r="P50" s="2">
        <f t="shared" si="11"/>
        <v>-5127</v>
      </c>
      <c r="Q50" s="2">
        <f t="shared" si="11"/>
        <v>-5127</v>
      </c>
      <c r="R50" s="2">
        <f t="shared" si="11"/>
        <v>-5127</v>
      </c>
      <c r="S50" s="2">
        <f t="shared" si="11"/>
        <v>-5127</v>
      </c>
      <c r="T50" s="2">
        <f t="shared" si="11"/>
        <v>-5127</v>
      </c>
      <c r="U50" s="2">
        <f t="shared" si="11"/>
        <v>-5127</v>
      </c>
      <c r="V50" s="2">
        <f t="shared" si="11"/>
        <v>-5127</v>
      </c>
      <c r="W50" s="2">
        <f t="shared" si="11"/>
        <v>-5127</v>
      </c>
      <c r="X50" s="2">
        <f t="shared" si="11"/>
        <v>-5127</v>
      </c>
      <c r="Y50" s="2">
        <f t="shared" si="11"/>
        <v>-5127</v>
      </c>
      <c r="Z50" s="2"/>
    </row>
    <row r="51" spans="1:26" x14ac:dyDescent="0.25">
      <c r="A51" s="62" t="s">
        <v>155</v>
      </c>
      <c r="B51" s="62"/>
      <c r="C51" s="62"/>
      <c r="D51" s="62"/>
      <c r="E51" s="2">
        <f>IF(E9&lt;&gt;"",E50*(1+$E$39)^-E9,"")</f>
        <v>-91400</v>
      </c>
      <c r="F51" s="2">
        <f>IF(F9&lt;&gt;"",F50*(1+$E$39)^-F9,"")</f>
        <v>-31499.640013962849</v>
      </c>
      <c r="G51" s="2">
        <f t="shared" ref="G51:Y51" si="12">IF(G9&lt;&gt;"",G50*(1+$E$39)^-G9,"")</f>
        <v>-28467.845603617036</v>
      </c>
      <c r="H51" s="2">
        <f t="shared" si="12"/>
        <v>-25727.856983512927</v>
      </c>
      <c r="I51" s="2">
        <f t="shared" si="12"/>
        <v>-3420.2618959726055</v>
      </c>
      <c r="J51" s="2">
        <f t="shared" si="12"/>
        <v>-3091.0666768040046</v>
      </c>
      <c r="K51" s="2">
        <f t="shared" si="12"/>
        <v>-2793.5560173619751</v>
      </c>
      <c r="L51" s="2">
        <f t="shared" si="12"/>
        <v>-2524.680324983532</v>
      </c>
      <c r="M51" s="2">
        <f t="shared" si="12"/>
        <v>-2281.6835258517895</v>
      </c>
      <c r="N51" s="2">
        <f t="shared" si="12"/>
        <v>-2062.0748142351094</v>
      </c>
      <c r="O51" s="2">
        <f t="shared" si="12"/>
        <v>-1863.6031208207824</v>
      </c>
      <c r="P51" s="2">
        <f t="shared" si="12"/>
        <v>-1684.2340384343493</v>
      </c>
      <c r="Q51" s="2">
        <f t="shared" si="12"/>
        <v>-1522.1289686247906</v>
      </c>
      <c r="R51" s="2">
        <f t="shared" si="12"/>
        <v>-1375.6262753604708</v>
      </c>
      <c r="S51" s="2">
        <f t="shared" si="12"/>
        <v>-1243.2242526543698</v>
      </c>
      <c r="T51" s="2">
        <f t="shared" si="12"/>
        <v>-1123.5657315305377</v>
      </c>
      <c r="U51" s="2">
        <f t="shared" si="12"/>
        <v>-1015.424168547582</v>
      </c>
      <c r="V51" s="2">
        <f t="shared" si="12"/>
        <v>-917.691073281478</v>
      </c>
      <c r="W51" s="2">
        <f t="shared" si="12"/>
        <v>-829.36464589482364</v>
      </c>
      <c r="X51" s="2">
        <f t="shared" si="12"/>
        <v>-749.5395083234805</v>
      </c>
      <c r="Y51" s="2">
        <f t="shared" si="12"/>
        <v>-677.39742382152519</v>
      </c>
      <c r="Z51" s="2"/>
    </row>
    <row r="52" spans="1:26" x14ac:dyDescent="0.25">
      <c r="A52" s="62" t="s">
        <v>156</v>
      </c>
      <c r="B52" s="62"/>
      <c r="C52" s="62"/>
      <c r="D52" s="62"/>
      <c r="E52" s="2">
        <f>+E51</f>
        <v>-91400</v>
      </c>
      <c r="F52" s="2">
        <f>+E52+F51</f>
        <v>-122899.64001396285</v>
      </c>
      <c r="G52" s="2">
        <f t="shared" ref="G52:X52" si="13">+F52+G51</f>
        <v>-151367.48561757989</v>
      </c>
      <c r="H52" s="2">
        <f t="shared" si="13"/>
        <v>-177095.34260109282</v>
      </c>
      <c r="I52" s="2">
        <f t="shared" si="13"/>
        <v>-180515.60449706542</v>
      </c>
      <c r="J52" s="2">
        <f t="shared" si="13"/>
        <v>-183606.67117386943</v>
      </c>
      <c r="K52" s="2">
        <f t="shared" si="13"/>
        <v>-186400.22719123142</v>
      </c>
      <c r="L52" s="2">
        <f t="shared" si="13"/>
        <v>-188924.90751621494</v>
      </c>
      <c r="M52" s="2">
        <f t="shared" si="13"/>
        <v>-191206.59104206672</v>
      </c>
      <c r="N52" s="2">
        <f t="shared" si="13"/>
        <v>-193268.66585630184</v>
      </c>
      <c r="O52" s="2">
        <f t="shared" si="13"/>
        <v>-195132.26897712261</v>
      </c>
      <c r="P52" s="2">
        <f t="shared" si="13"/>
        <v>-196816.50301555695</v>
      </c>
      <c r="Q52" s="2">
        <f t="shared" si="13"/>
        <v>-198338.63198418173</v>
      </c>
      <c r="R52" s="2">
        <f t="shared" si="13"/>
        <v>-199714.2582595422</v>
      </c>
      <c r="S52" s="2">
        <f t="shared" si="13"/>
        <v>-200957.48251219656</v>
      </c>
      <c r="T52" s="2">
        <f t="shared" si="13"/>
        <v>-202081.0482437271</v>
      </c>
      <c r="U52" s="2">
        <f t="shared" si="13"/>
        <v>-203096.47241227468</v>
      </c>
      <c r="V52" s="2">
        <f t="shared" si="13"/>
        <v>-204014.16348555617</v>
      </c>
      <c r="W52" s="2">
        <f t="shared" si="13"/>
        <v>-204843.52813145099</v>
      </c>
      <c r="X52" s="2">
        <f t="shared" si="13"/>
        <v>-205593.06763977447</v>
      </c>
      <c r="Y52" s="2">
        <f>+X52+Y51</f>
        <v>-206270.465063596</v>
      </c>
    </row>
    <row r="53" spans="1:26" x14ac:dyDescent="0.25">
      <c r="A53" s="62" t="s">
        <v>157</v>
      </c>
      <c r="B53" s="62"/>
      <c r="C53" s="62"/>
      <c r="D53" s="62"/>
      <c r="F53" s="2">
        <f t="shared" ref="F53:Y53" si="14">IF(F9&lt;&gt;"",F18,"")</f>
        <v>12103.427463816357</v>
      </c>
      <c r="G53" s="2">
        <f t="shared" si="14"/>
        <v>12103.427463816357</v>
      </c>
      <c r="H53" s="2">
        <f t="shared" si="14"/>
        <v>12103.427463816357</v>
      </c>
      <c r="I53" s="2">
        <f t="shared" si="14"/>
        <v>12103.427463816357</v>
      </c>
      <c r="J53" s="2">
        <f t="shared" si="14"/>
        <v>12103.427463816357</v>
      </c>
      <c r="K53" s="2">
        <f t="shared" si="14"/>
        <v>12103.427463816357</v>
      </c>
      <c r="L53" s="2">
        <f t="shared" si="14"/>
        <v>12103.427463816357</v>
      </c>
      <c r="M53" s="2">
        <f t="shared" si="14"/>
        <v>12103.427463816357</v>
      </c>
      <c r="N53" s="2">
        <f t="shared" si="14"/>
        <v>12103.427463816357</v>
      </c>
      <c r="O53" s="2">
        <f t="shared" si="14"/>
        <v>12103.427463816357</v>
      </c>
      <c r="P53" s="2">
        <f t="shared" si="14"/>
        <v>12103.427463816357</v>
      </c>
      <c r="Q53" s="2">
        <f t="shared" si="14"/>
        <v>12103.427463816357</v>
      </c>
      <c r="R53" s="2">
        <f t="shared" si="14"/>
        <v>12103.427463816357</v>
      </c>
      <c r="S53" s="2">
        <f t="shared" si="14"/>
        <v>12103.427463816357</v>
      </c>
      <c r="T53" s="2">
        <f t="shared" si="14"/>
        <v>12103.427463816357</v>
      </c>
      <c r="U53" s="2">
        <f t="shared" si="14"/>
        <v>12103.427463816357</v>
      </c>
      <c r="V53" s="2">
        <f t="shared" si="14"/>
        <v>12103.427463816357</v>
      </c>
      <c r="W53" s="2">
        <f t="shared" si="14"/>
        <v>12103.427463816357</v>
      </c>
      <c r="X53" s="2">
        <f t="shared" si="14"/>
        <v>12103.427463816357</v>
      </c>
      <c r="Y53" s="2">
        <f t="shared" si="14"/>
        <v>12103.427463816357</v>
      </c>
    </row>
    <row r="54" spans="1:26" x14ac:dyDescent="0.25">
      <c r="A54" s="62" t="s">
        <v>158</v>
      </c>
      <c r="B54" s="62"/>
      <c r="C54" s="62"/>
      <c r="D54" s="62"/>
      <c r="F54" s="2">
        <f>IF(F9&lt;&gt;"",F53*(1+$E$39)^-F9,"")</f>
        <v>10938.49022280158</v>
      </c>
      <c r="G54" s="2">
        <f t="shared" ref="G54:Y54" si="15">IF(G9&lt;&gt;"",G53*(1+$E$39)^-G9,"")</f>
        <v>9885.6764922188831</v>
      </c>
      <c r="H54" s="2">
        <f t="shared" si="15"/>
        <v>8934.1945477169484</v>
      </c>
      <c r="I54" s="2">
        <f t="shared" si="15"/>
        <v>8074.2913526739685</v>
      </c>
      <c r="J54" s="2">
        <f t="shared" si="15"/>
        <v>7297.1525860185575</v>
      </c>
      <c r="K54" s="2">
        <f t="shared" si="15"/>
        <v>6594.8122922271068</v>
      </c>
      <c r="L54" s="2">
        <f t="shared" si="15"/>
        <v>5960.0712273771178</v>
      </c>
      <c r="M54" s="2">
        <f t="shared" si="15"/>
        <v>5386.4230642738221</v>
      </c>
      <c r="N54" s="2">
        <f t="shared" si="15"/>
        <v>4867.9877002257135</v>
      </c>
      <c r="O54" s="2">
        <f t="shared" si="15"/>
        <v>4399.4509838494496</v>
      </c>
      <c r="P54" s="2">
        <f t="shared" si="15"/>
        <v>3976.0102430818483</v>
      </c>
      <c r="Q54" s="2">
        <f t="shared" si="15"/>
        <v>3593.3250560413021</v>
      </c>
      <c r="R54" s="2">
        <f t="shared" si="15"/>
        <v>3247.4727601219665</v>
      </c>
      <c r="S54" s="2">
        <f t="shared" si="15"/>
        <v>2934.9082432727646</v>
      </c>
      <c r="T54" s="2">
        <f t="shared" si="15"/>
        <v>2652.4276053071239</v>
      </c>
      <c r="U54" s="2">
        <f t="shared" si="15"/>
        <v>2397.1353167586685</v>
      </c>
      <c r="V54" s="2">
        <f t="shared" si="15"/>
        <v>2166.4145386491418</v>
      </c>
      <c r="W54" s="2">
        <f t="shared" si="15"/>
        <v>1957.9002989353885</v>
      </c>
      <c r="X54" s="2">
        <f t="shared" si="15"/>
        <v>1769.4552506841862</v>
      </c>
      <c r="Y54" s="2">
        <f t="shared" si="15"/>
        <v>1599.1477634873995</v>
      </c>
    </row>
    <row r="55" spans="1:26" x14ac:dyDescent="0.25">
      <c r="A55" s="62" t="s">
        <v>159</v>
      </c>
      <c r="B55" s="62"/>
      <c r="C55" s="62"/>
      <c r="D55" s="62"/>
      <c r="F55" s="2">
        <f t="shared" ref="F55:Y55" si="16">IF(F9&lt;&gt;"",E55+F54,"")</f>
        <v>10938.49022280158</v>
      </c>
      <c r="G55" s="2">
        <f t="shared" si="16"/>
        <v>20824.166715020463</v>
      </c>
      <c r="H55" s="2">
        <f t="shared" si="16"/>
        <v>29758.36126273741</v>
      </c>
      <c r="I55" s="2">
        <f t="shared" si="16"/>
        <v>37832.652615411382</v>
      </c>
      <c r="J55" s="2">
        <f t="shared" si="16"/>
        <v>45129.805201429939</v>
      </c>
      <c r="K55" s="2">
        <f t="shared" si="16"/>
        <v>51724.617493657046</v>
      </c>
      <c r="L55" s="2">
        <f t="shared" si="16"/>
        <v>57684.688721034167</v>
      </c>
      <c r="M55" s="2">
        <f t="shared" si="16"/>
        <v>63071.111785307992</v>
      </c>
      <c r="N55" s="2">
        <f t="shared" si="16"/>
        <v>67939.099485533705</v>
      </c>
      <c r="O55" s="2">
        <f t="shared" si="16"/>
        <v>72338.550469383161</v>
      </c>
      <c r="P55" s="2">
        <f t="shared" si="16"/>
        <v>76314.560712465012</v>
      </c>
      <c r="Q55" s="2">
        <f t="shared" si="16"/>
        <v>79907.885768506312</v>
      </c>
      <c r="R55" s="2">
        <f t="shared" si="16"/>
        <v>83155.358528628276</v>
      </c>
      <c r="S55" s="2">
        <f t="shared" si="16"/>
        <v>86090.266771901035</v>
      </c>
      <c r="T55" s="2">
        <f t="shared" si="16"/>
        <v>88742.694377208158</v>
      </c>
      <c r="U55" s="2">
        <f t="shared" si="16"/>
        <v>91139.829693966822</v>
      </c>
      <c r="V55" s="2">
        <f t="shared" si="16"/>
        <v>93306.244232615965</v>
      </c>
      <c r="W55" s="2">
        <f t="shared" si="16"/>
        <v>95264.144531551356</v>
      </c>
      <c r="X55" s="2">
        <f t="shared" si="16"/>
        <v>97033.599782235542</v>
      </c>
      <c r="Y55" s="2">
        <f t="shared" si="16"/>
        <v>98632.747545722945</v>
      </c>
    </row>
    <row r="56" spans="1:26" x14ac:dyDescent="0.25">
      <c r="A56" s="62" t="s">
        <v>160</v>
      </c>
      <c r="B56" s="62"/>
      <c r="C56" s="62"/>
      <c r="D56" s="62"/>
      <c r="F56" s="2">
        <f t="shared" ref="F56:Y56" si="17">IF(F9&lt;&gt;"",F55+F52,"")</f>
        <v>-111961.14979116127</v>
      </c>
      <c r="G56" s="2">
        <f t="shared" si="17"/>
        <v>-130543.31890255943</v>
      </c>
      <c r="H56" s="2">
        <f t="shared" si="17"/>
        <v>-147336.9813383554</v>
      </c>
      <c r="I56" s="2">
        <f t="shared" si="17"/>
        <v>-142682.95188165404</v>
      </c>
      <c r="J56" s="2">
        <f t="shared" si="17"/>
        <v>-138476.8659724395</v>
      </c>
      <c r="K56" s="2">
        <f t="shared" si="17"/>
        <v>-134675.60969757437</v>
      </c>
      <c r="L56" s="2">
        <f t="shared" si="17"/>
        <v>-131240.21879518079</v>
      </c>
      <c r="M56" s="2">
        <f t="shared" si="17"/>
        <v>-128135.47925675873</v>
      </c>
      <c r="N56" s="2">
        <f t="shared" si="17"/>
        <v>-125329.56637076814</v>
      </c>
      <c r="O56" s="2">
        <f t="shared" si="17"/>
        <v>-122793.71850773945</v>
      </c>
      <c r="P56" s="2">
        <f t="shared" si="17"/>
        <v>-120501.94230309194</v>
      </c>
      <c r="Q56" s="2">
        <f t="shared" si="17"/>
        <v>-118430.74621567542</v>
      </c>
      <c r="R56" s="2">
        <f t="shared" si="17"/>
        <v>-116558.89973091392</v>
      </c>
      <c r="S56" s="2">
        <f t="shared" si="17"/>
        <v>-114867.21574029552</v>
      </c>
      <c r="T56" s="2">
        <f t="shared" si="17"/>
        <v>-113338.35386651894</v>
      </c>
      <c r="U56" s="2">
        <f t="shared" si="17"/>
        <v>-111956.64271830786</v>
      </c>
      <c r="V56" s="2">
        <f t="shared" si="17"/>
        <v>-110707.91925294021</v>
      </c>
      <c r="W56" s="2">
        <f t="shared" si="17"/>
        <v>-109579.38359989964</v>
      </c>
      <c r="X56" s="2">
        <f t="shared" si="17"/>
        <v>-108559.46785753893</v>
      </c>
      <c r="Y56" s="2">
        <f t="shared" si="17"/>
        <v>-107637.71751787305</v>
      </c>
    </row>
    <row r="57" spans="1:26" x14ac:dyDescent="0.25">
      <c r="A57" s="39" t="s">
        <v>161</v>
      </c>
      <c r="B57" s="39"/>
      <c r="C57" s="39"/>
      <c r="D57" s="39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9" spans="1:26" x14ac:dyDescent="0.25">
      <c r="A59" s="62" t="s">
        <v>108</v>
      </c>
      <c r="B59" s="62"/>
      <c r="C59" s="62"/>
      <c r="D59" s="62"/>
      <c r="E59" s="2">
        <f t="shared" ref="E59:Y59" si="18">IF(E9="",D59,-E52)</f>
        <v>91400</v>
      </c>
      <c r="F59" s="2">
        <f t="shared" si="18"/>
        <v>122899.64001396285</v>
      </c>
      <c r="G59" s="2">
        <f t="shared" si="18"/>
        <v>151367.48561757989</v>
      </c>
      <c r="H59" s="2">
        <f t="shared" si="18"/>
        <v>177095.34260109282</v>
      </c>
      <c r="I59" s="2">
        <f t="shared" si="18"/>
        <v>180515.60449706542</v>
      </c>
      <c r="J59" s="2">
        <f t="shared" si="18"/>
        <v>183606.67117386943</v>
      </c>
      <c r="K59" s="2">
        <f t="shared" si="18"/>
        <v>186400.22719123142</v>
      </c>
      <c r="L59" s="2">
        <f t="shared" si="18"/>
        <v>188924.90751621494</v>
      </c>
      <c r="M59" s="2">
        <f t="shared" si="18"/>
        <v>191206.59104206672</v>
      </c>
      <c r="N59" s="2">
        <f t="shared" si="18"/>
        <v>193268.66585630184</v>
      </c>
      <c r="O59" s="2">
        <f t="shared" si="18"/>
        <v>195132.26897712261</v>
      </c>
      <c r="P59" s="2">
        <f t="shared" si="18"/>
        <v>196816.50301555695</v>
      </c>
      <c r="Q59" s="2">
        <f t="shared" si="18"/>
        <v>198338.63198418173</v>
      </c>
      <c r="R59" s="2">
        <f t="shared" si="18"/>
        <v>199714.2582595422</v>
      </c>
      <c r="S59" s="2">
        <f t="shared" si="18"/>
        <v>200957.48251219656</v>
      </c>
      <c r="T59" s="2">
        <f t="shared" si="18"/>
        <v>202081.0482437271</v>
      </c>
      <c r="U59" s="2">
        <f t="shared" si="18"/>
        <v>203096.47241227468</v>
      </c>
      <c r="V59" s="2">
        <f t="shared" si="18"/>
        <v>204014.16348555617</v>
      </c>
      <c r="W59" s="2">
        <f t="shared" si="18"/>
        <v>204843.52813145099</v>
      </c>
      <c r="X59" s="2">
        <f t="shared" si="18"/>
        <v>205593.06763977447</v>
      </c>
      <c r="Y59" s="2">
        <f t="shared" si="18"/>
        <v>206270.465063596</v>
      </c>
    </row>
    <row r="60" spans="1:26" x14ac:dyDescent="0.25">
      <c r="A60" s="62" t="s">
        <v>109</v>
      </c>
      <c r="B60" s="62"/>
      <c r="C60" s="62"/>
      <c r="D60" s="62"/>
      <c r="F60" s="2">
        <f t="shared" ref="F60:Y60" si="19">IF(F9="",E60,F55)</f>
        <v>10938.49022280158</v>
      </c>
      <c r="G60" s="2">
        <f t="shared" si="19"/>
        <v>20824.166715020463</v>
      </c>
      <c r="H60" s="2">
        <f t="shared" si="19"/>
        <v>29758.36126273741</v>
      </c>
      <c r="I60" s="2">
        <f t="shared" si="19"/>
        <v>37832.652615411382</v>
      </c>
      <c r="J60" s="2">
        <f t="shared" si="19"/>
        <v>45129.805201429939</v>
      </c>
      <c r="K60" s="2">
        <f t="shared" si="19"/>
        <v>51724.617493657046</v>
      </c>
      <c r="L60" s="2">
        <f t="shared" si="19"/>
        <v>57684.688721034167</v>
      </c>
      <c r="M60" s="2">
        <f t="shared" si="19"/>
        <v>63071.111785307992</v>
      </c>
      <c r="N60" s="2">
        <f t="shared" si="19"/>
        <v>67939.099485533705</v>
      </c>
      <c r="O60" s="2">
        <f t="shared" si="19"/>
        <v>72338.550469383161</v>
      </c>
      <c r="P60" s="2">
        <f t="shared" si="19"/>
        <v>76314.560712465012</v>
      </c>
      <c r="Q60" s="2">
        <f t="shared" si="19"/>
        <v>79907.885768506312</v>
      </c>
      <c r="R60" s="2">
        <f t="shared" si="19"/>
        <v>83155.358528628276</v>
      </c>
      <c r="S60" s="2">
        <f t="shared" si="19"/>
        <v>86090.266771901035</v>
      </c>
      <c r="T60" s="2">
        <f t="shared" si="19"/>
        <v>88742.694377208158</v>
      </c>
      <c r="U60" s="2">
        <f t="shared" si="19"/>
        <v>91139.829693966822</v>
      </c>
      <c r="V60" s="2">
        <f t="shared" si="19"/>
        <v>93306.244232615965</v>
      </c>
      <c r="W60" s="2">
        <f t="shared" si="19"/>
        <v>95264.144531551356</v>
      </c>
      <c r="X60" s="2">
        <f t="shared" si="19"/>
        <v>97033.599782235542</v>
      </c>
      <c r="Y60" s="2">
        <f t="shared" si="19"/>
        <v>98632.747545722945</v>
      </c>
    </row>
  </sheetData>
  <sheetProtection selectLockedCells="1"/>
  <mergeCells count="34">
    <mergeCell ref="A56:D56"/>
    <mergeCell ref="A59:D59"/>
    <mergeCell ref="A60:D60"/>
    <mergeCell ref="A55:D55"/>
    <mergeCell ref="A31:D31"/>
    <mergeCell ref="A32:D32"/>
    <mergeCell ref="A33:D33"/>
    <mergeCell ref="A34:D34"/>
    <mergeCell ref="A50:D50"/>
    <mergeCell ref="A51:D51"/>
    <mergeCell ref="A52:D52"/>
    <mergeCell ref="A53:D53"/>
    <mergeCell ref="A54:D54"/>
    <mergeCell ref="A28:D28"/>
    <mergeCell ref="A13:D13"/>
    <mergeCell ref="A17:D17"/>
    <mergeCell ref="A19:D19"/>
    <mergeCell ref="A14:D14"/>
    <mergeCell ref="A18:D18"/>
    <mergeCell ref="A23:D23"/>
    <mergeCell ref="A27:D27"/>
    <mergeCell ref="A16:D16"/>
    <mergeCell ref="A20:D20"/>
    <mergeCell ref="A26:D26"/>
    <mergeCell ref="A11:D11"/>
    <mergeCell ref="A12:D12"/>
    <mergeCell ref="A21:D21"/>
    <mergeCell ref="A24:D24"/>
    <mergeCell ref="A25:D25"/>
    <mergeCell ref="F3:I3"/>
    <mergeCell ref="I7:J7"/>
    <mergeCell ref="N7:O7"/>
    <mergeCell ref="A7:D7"/>
    <mergeCell ref="A9:D9"/>
  </mergeCells>
  <dataValidations count="2">
    <dataValidation allowBlank="1" showInputMessage="1" showErrorMessage="1" promptTitle="BrutoDobit" prompt="Bruto dobit prema Bilansu uspeha, ne obuhvata otplatu glavice." sqref="A31:D31" xr:uid="{6B497762-BBEA-4085-9964-16505FC9B865}"/>
    <dataValidation allowBlank="1" showInputMessage="1" showErrorMessage="1" promptTitle="CashFlow" prompt="Ne obuhvata amortizaciju, ali obuhvata otplatu glavnice." sqref="A36" xr:uid="{3C34A0B1-74E2-4C90-82F1-77B7FCDD8138}"/>
  </dataValidations>
  <hyperlinks>
    <hyperlink ref="I7:J7" location="Anuiteti!I4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E7EA8-89D0-4442-AF4C-46277E7A8E21}">
  <dimension ref="A3:Z61"/>
  <sheetViews>
    <sheetView showZeros="0" tabSelected="1" topLeftCell="A9" zoomScale="80" zoomScaleNormal="80" workbookViewId="0">
      <selection activeCell="H23" sqref="H23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4" t="s">
        <v>147</v>
      </c>
      <c r="G3" s="54"/>
      <c r="H3" s="54"/>
      <c r="I3" s="54"/>
    </row>
    <row r="7" spans="1:25" ht="21" x14ac:dyDescent="0.35">
      <c r="A7" s="66" t="s">
        <v>96</v>
      </c>
      <c r="B7" s="66"/>
      <c r="C7" s="66"/>
      <c r="D7" s="66"/>
      <c r="I7" s="58" t="s">
        <v>127</v>
      </c>
      <c r="J7" s="58"/>
      <c r="N7" s="59" t="s">
        <v>128</v>
      </c>
      <c r="O7" s="59"/>
    </row>
    <row r="9" spans="1:25" x14ac:dyDescent="0.25">
      <c r="A9" s="57" t="s">
        <v>61</v>
      </c>
      <c r="B9" s="57"/>
      <c r="C9" s="57"/>
      <c r="D9" s="57"/>
      <c r="E9" s="13">
        <v>0</v>
      </c>
      <c r="F9" s="13">
        <v>1</v>
      </c>
      <c r="G9" s="13">
        <f>IF(F9&lt;UnosPodataka!$M$24,'FinInd+CO2'!F9+1,"")</f>
        <v>2</v>
      </c>
      <c r="H9" s="13">
        <f>IF(G9&lt;UnosPodataka!$M$24,'FinInd+CO2'!G9+1,"")</f>
        <v>3</v>
      </c>
      <c r="I9" s="13">
        <f>IF(H9&lt;UnosPodataka!$M$24,'FinInd+CO2'!H9+1,"")</f>
        <v>4</v>
      </c>
      <c r="J9" s="13">
        <f>IF(I9&lt;UnosPodataka!$M$24,'FinInd+CO2'!I9+1,"")</f>
        <v>5</v>
      </c>
      <c r="K9" s="13">
        <f>IF(J9&lt;UnosPodataka!$M$24,'FinInd+CO2'!J9+1,"")</f>
        <v>6</v>
      </c>
      <c r="L9" s="13">
        <f>IF(K9&lt;UnosPodataka!$M$24,'FinInd+CO2'!K9+1,"")</f>
        <v>7</v>
      </c>
      <c r="M9" s="13">
        <f>IF(L9&lt;UnosPodataka!$M$24,'FinInd+CO2'!L9+1,"")</f>
        <v>8</v>
      </c>
      <c r="N9" s="13">
        <f>IF(M9&lt;UnosPodataka!$M$24,'FinInd+CO2'!M9+1,"")</f>
        <v>9</v>
      </c>
      <c r="O9" s="13">
        <f>IF(N9&lt;UnosPodataka!$M$24,'FinInd+CO2'!N9+1,"")</f>
        <v>10</v>
      </c>
      <c r="P9" s="13">
        <f>IF(O9&lt;UnosPodataka!$M$24,'FinInd+CO2'!O9+1,"")</f>
        <v>11</v>
      </c>
      <c r="Q9" s="13">
        <f>IF(P9&lt;UnosPodataka!$M$24,'FinInd+CO2'!P9+1,"")</f>
        <v>12</v>
      </c>
      <c r="R9" s="13">
        <f>IF(Q9&lt;UnosPodataka!$M$24,'FinInd+CO2'!Q9+1,"")</f>
        <v>13</v>
      </c>
      <c r="S9" s="13">
        <f>IF(R9&lt;UnosPodataka!$M$24,'FinInd+CO2'!R9+1,"")</f>
        <v>14</v>
      </c>
      <c r="T9" s="13">
        <f>IF(S9&lt;UnosPodataka!$M$24,'FinInd+CO2'!S9+1,"")</f>
        <v>15</v>
      </c>
      <c r="U9" s="13">
        <f>IF(T9&lt;UnosPodataka!$M$24,'FinInd+CO2'!T9+1,"")</f>
        <v>16</v>
      </c>
      <c r="V9" s="13">
        <f>IF(U9&lt;UnosPodataka!$M$24,'FinInd+CO2'!U9+1,"")</f>
        <v>17</v>
      </c>
      <c r="W9" s="13">
        <f>IF(V9&lt;UnosPodataka!$M$24,'FinInd+CO2'!V9+1,"")</f>
        <v>18</v>
      </c>
      <c r="X9" s="13">
        <f>IF(W9&lt;UnosPodataka!$M$24,'FinInd+CO2'!W9+1,"")</f>
        <v>19</v>
      </c>
      <c r="Y9" s="13">
        <f>IF(X9&lt;UnosPodataka!$M$24,'FinInd+CO2'!X9+1,"")</f>
        <v>20</v>
      </c>
    </row>
    <row r="11" spans="1:25" x14ac:dyDescent="0.25">
      <c r="A11" s="62" t="s">
        <v>97</v>
      </c>
      <c r="B11" s="62"/>
      <c r="C11" s="62"/>
      <c r="D11" s="62"/>
      <c r="E11" s="2">
        <f>LOAN</f>
        <v>71400</v>
      </c>
    </row>
    <row r="12" spans="1:25" x14ac:dyDescent="0.25">
      <c r="A12" s="62" t="s">
        <v>98</v>
      </c>
      <c r="B12" s="62"/>
      <c r="C12" s="62"/>
      <c r="D12" s="62"/>
      <c r="E12" s="2">
        <f>IF(Equity=0,LOAN,Equity)</f>
        <v>20000</v>
      </c>
    </row>
    <row r="13" spans="1:25" x14ac:dyDescent="0.25">
      <c r="A13" s="63"/>
      <c r="B13" s="63"/>
      <c r="C13" s="63"/>
      <c r="D13" s="63"/>
    </row>
    <row r="14" spans="1:25" x14ac:dyDescent="0.25">
      <c r="A14" s="62" t="s">
        <v>110</v>
      </c>
      <c r="B14" s="62"/>
      <c r="C14" s="62"/>
      <c r="D14" s="62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57" t="s">
        <v>148</v>
      </c>
      <c r="B16" s="57"/>
      <c r="C16" s="57"/>
      <c r="D16" s="5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2" t="s">
        <v>99</v>
      </c>
      <c r="B17" s="62"/>
      <c r="C17" s="62"/>
      <c r="D17" s="62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ht="18" x14ac:dyDescent="0.35">
      <c r="A18" s="62" t="s">
        <v>111</v>
      </c>
      <c r="B18" s="62"/>
      <c r="C18" s="62"/>
      <c r="D18" s="62"/>
      <c r="F18" s="2">
        <f>IF(F9&lt;&gt;"",F14*UnosPodataka!$M$23*CARBON,"")</f>
        <v>4682.5728927538175</v>
      </c>
      <c r="G18" s="2">
        <f>IF(G9&lt;&gt;"",G14*UnosPodataka!$M$23*CARBON,"")</f>
        <v>4682.5728927538175</v>
      </c>
      <c r="H18" s="2">
        <f>IF(H9&lt;&gt;"",H14*UnosPodataka!$M$23*CARBON,"")</f>
        <v>4682.5728927538175</v>
      </c>
      <c r="I18" s="2">
        <f>IF(I9&lt;&gt;"",I14*UnosPodataka!$M$23*CARBON,"")</f>
        <v>4682.5728927538175</v>
      </c>
      <c r="J18" s="2">
        <f>IF(J9&lt;&gt;"",J14*UnosPodataka!$M$23*CARBON,"")</f>
        <v>4682.5728927538175</v>
      </c>
      <c r="K18" s="2">
        <f>IF(K9&lt;&gt;"",K14*UnosPodataka!$M$23*CARBON,"")</f>
        <v>4682.5728927538175</v>
      </c>
      <c r="L18" s="2">
        <f>IF(L9&lt;&gt;"",L14*UnosPodataka!$M$23*CARBON,"")</f>
        <v>4682.5728927538175</v>
      </c>
      <c r="M18" s="2">
        <f>IF(M9&lt;&gt;"",M14*UnosPodataka!$M$23*CARBON,"")</f>
        <v>4682.5728927538175</v>
      </c>
      <c r="N18" s="2">
        <f>IF(N9&lt;&gt;"",N14*UnosPodataka!$M$23*CARBON,"")</f>
        <v>4682.5728927538175</v>
      </c>
      <c r="O18" s="2">
        <f>IF(O9&lt;&gt;"",O14*UnosPodataka!$M$23*CARBON,"")</f>
        <v>4682.5728927538175</v>
      </c>
      <c r="P18" s="2">
        <f>IF(P9&lt;&gt;"",P14*UnosPodataka!$M$23*CARBON,"")</f>
        <v>4682.5728927538175</v>
      </c>
      <c r="Q18" s="2">
        <f>IF(Q9&lt;&gt;"",Q14*UnosPodataka!$M$23*CARBON,"")</f>
        <v>4682.5728927538175</v>
      </c>
      <c r="R18" s="2">
        <f>IF(R9&lt;&gt;"",R14*UnosPodataka!$M$23*CARBON,"")</f>
        <v>4682.5728927538175</v>
      </c>
      <c r="S18" s="2">
        <f>IF(S9&lt;&gt;"",S14*UnosPodataka!$M$23*CARBON,"")</f>
        <v>4682.5728927538175</v>
      </c>
      <c r="T18" s="2">
        <f>IF(T9&lt;&gt;"",T14*UnosPodataka!$M$23*CARBON,"")</f>
        <v>4682.5728927538175</v>
      </c>
      <c r="U18" s="2">
        <f>IF(U9&lt;&gt;"",U14*UnosPodataka!$M$23*CARBON,"")</f>
        <v>4682.5728927538175</v>
      </c>
      <c r="V18" s="2">
        <f>IF(V9&lt;&gt;"",V14*UnosPodataka!$M$23*CARBON,"")</f>
        <v>4682.5728927538175</v>
      </c>
      <c r="W18" s="2">
        <f>IF(W9&lt;&gt;"",W14*UnosPodataka!$M$23*CARBON,"")</f>
        <v>4682.5728927538175</v>
      </c>
      <c r="X18" s="2">
        <f>IF(X9&lt;&gt;"",X14*UnosPodataka!$M$23*CARBON,"")</f>
        <v>4682.5728927538175</v>
      </c>
      <c r="Y18" s="2">
        <f>IF(Y9&lt;&gt;"",Y14*UnosPodataka!$M$23*CARBON,"")</f>
        <v>4682.5728927538175</v>
      </c>
    </row>
    <row r="19" spans="1:25" x14ac:dyDescent="0.25">
      <c r="A19" s="67" t="s">
        <v>100</v>
      </c>
      <c r="B19" s="67"/>
      <c r="C19" s="67"/>
      <c r="D19" s="67"/>
      <c r="E19" s="37"/>
      <c r="F19" s="38">
        <f>IF(F9&lt;&gt;"",F17+F18,"")</f>
        <v>16786.000356570174</v>
      </c>
      <c r="G19" s="38">
        <f t="shared" ref="G19:Y19" si="0">IF(G9&lt;&gt;"",G17+G18,"")</f>
        <v>16786.000356570174</v>
      </c>
      <c r="H19" s="38">
        <f t="shared" si="0"/>
        <v>16786.000356570174</v>
      </c>
      <c r="I19" s="38">
        <f t="shared" si="0"/>
        <v>16786.000356570174</v>
      </c>
      <c r="J19" s="38">
        <f t="shared" si="0"/>
        <v>16786.000356570174</v>
      </c>
      <c r="K19" s="38">
        <f t="shared" si="0"/>
        <v>16786.000356570174</v>
      </c>
      <c r="L19" s="38">
        <f t="shared" si="0"/>
        <v>16786.000356570174</v>
      </c>
      <c r="M19" s="38">
        <f t="shared" si="0"/>
        <v>16786.000356570174</v>
      </c>
      <c r="N19" s="38">
        <f t="shared" si="0"/>
        <v>16786.000356570174</v>
      </c>
      <c r="O19" s="38">
        <f t="shared" si="0"/>
        <v>16786.000356570174</v>
      </c>
      <c r="P19" s="38">
        <f t="shared" si="0"/>
        <v>16786.000356570174</v>
      </c>
      <c r="Q19" s="38">
        <f t="shared" si="0"/>
        <v>16786.000356570174</v>
      </c>
      <c r="R19" s="38">
        <f t="shared" si="0"/>
        <v>16786.000356570174</v>
      </c>
      <c r="S19" s="38">
        <f t="shared" si="0"/>
        <v>16786.000356570174</v>
      </c>
      <c r="T19" s="38">
        <f t="shared" si="0"/>
        <v>16786.000356570174</v>
      </c>
      <c r="U19" s="38">
        <f t="shared" si="0"/>
        <v>16786.000356570174</v>
      </c>
      <c r="V19" s="38">
        <f t="shared" si="0"/>
        <v>16786.000356570174</v>
      </c>
      <c r="W19" s="38">
        <f t="shared" si="0"/>
        <v>16786.000356570174</v>
      </c>
      <c r="X19" s="38">
        <f t="shared" si="0"/>
        <v>16786.000356570174</v>
      </c>
      <c r="Y19" s="38">
        <f t="shared" si="0"/>
        <v>16786.000356570174</v>
      </c>
    </row>
    <row r="20" spans="1:25" x14ac:dyDescent="0.25">
      <c r="A20" s="63"/>
      <c r="B20" s="63"/>
      <c r="C20" s="63"/>
      <c r="D20" s="63"/>
    </row>
    <row r="21" spans="1:25" x14ac:dyDescent="0.25">
      <c r="A21" s="57" t="s">
        <v>149</v>
      </c>
      <c r="B21" s="57"/>
      <c r="C21" s="57"/>
      <c r="D21" s="57"/>
    </row>
    <row r="22" spans="1:25" x14ac:dyDescent="0.25">
      <c r="A22" s="62" t="s">
        <v>101</v>
      </c>
      <c r="B22" s="62"/>
      <c r="C22" s="62"/>
      <c r="D22" s="62"/>
      <c r="F22" s="2">
        <f>IF(F9&gt;UnosPodataka!$M$21,"",-VLOOKUP(F9,Anuiteti!$B$13:$E$32,3,FALSE))</f>
        <v>-8568</v>
      </c>
      <c r="G22" s="2">
        <f>IF(G9&gt;UnosPodataka!$M$21,"",-VLOOKUP(G9,Anuiteti!$B$13:$E$32,3,FALSE))</f>
        <v>-6028.881934566145</v>
      </c>
      <c r="H22" s="2">
        <f>IF(H9&gt;UnosPodataka!$M$21,"",-VLOOKUP(H9,Anuiteti!$B$13:$E$32,3,FALSE))</f>
        <v>-3185.0697012802284</v>
      </c>
      <c r="I22" s="2" t="str">
        <f>IF(I9&gt;UnosPodataka!$M$21,"",-VLOOKUP(I9,Anuiteti!$B$13:$E$32,3,FALSE))</f>
        <v/>
      </c>
      <c r="J22" s="2" t="str">
        <f>IF(J9&gt;UnosPodataka!$M$21,"",-VLOOKUP(J9,Anuiteti!$B$13:$E$32,3,FALSE))</f>
        <v/>
      </c>
      <c r="K22" s="2" t="str">
        <f>IF(K9&gt;UnosPodataka!$M$21,"",-VLOOKUP(K9,Anuiteti!$B$13:$E$32,3,FALSE))</f>
        <v/>
      </c>
      <c r="L22" s="2" t="str">
        <f>IF(L9&gt;UnosPodataka!$M$21,"",-VLOOKUP(L9,Anuiteti!$B$13:$E$32,3,FALSE))</f>
        <v/>
      </c>
      <c r="M22" s="2" t="str">
        <f>IF(M9&gt;UnosPodataka!$M$21,"",-VLOOKUP(M9,Anuiteti!$B$13:$E$32,3,FALSE))</f>
        <v/>
      </c>
      <c r="N22" s="2" t="str">
        <f>IF(N9&gt;UnosPodataka!$M$21,"",-VLOOKUP(N9,Anuiteti!$B$13:$E$32,3,FALSE))</f>
        <v/>
      </c>
      <c r="O22" s="2" t="str">
        <f>IF(O9&gt;UnosPodataka!$M$21,"",-VLOOKUP(O9,Anuiteti!$B$13:$E$32,3,FALSE))</f>
        <v/>
      </c>
      <c r="P22" s="2" t="str">
        <f>IF(P9&gt;UnosPodataka!$M$21,"",-VLOOKUP(P9,Anuiteti!$B$13:$E$32,3,FALSE))</f>
        <v/>
      </c>
      <c r="Q22" s="2" t="str">
        <f>IF(Q9&gt;UnosPodataka!$M$21,"",-VLOOKUP(Q9,Anuiteti!$B$13:$E$32,3,FALSE))</f>
        <v/>
      </c>
      <c r="R22" s="2" t="str">
        <f>IF(R9&gt;UnosPodataka!$M$21,"",-VLOOKUP(R9,Anuiteti!$B$13:$E$32,3,FALSE))</f>
        <v/>
      </c>
      <c r="S22" s="2" t="str">
        <f>IF(S9&gt;UnosPodataka!$M$21,"",-VLOOKUP(S9,Anuiteti!$B$13:$E$32,3,FALSE))</f>
        <v/>
      </c>
      <c r="T22" s="2" t="str">
        <f>IF(T9&gt;UnosPodataka!$M$21,"",-VLOOKUP(T9,Anuiteti!$B$13:$E$32,3,FALSE))</f>
        <v/>
      </c>
      <c r="U22" s="2" t="str">
        <f>IF(U9&gt;UnosPodataka!$M$21,"",-VLOOKUP(U9,Anuiteti!$B$13:$E$32,3,FALSE))</f>
        <v/>
      </c>
      <c r="V22" s="2" t="str">
        <f>IF(V9&gt;UnosPodataka!$M$21,"",-VLOOKUP(V9,Anuiteti!$B$13:$E$32,3,FALSE))</f>
        <v/>
      </c>
      <c r="W22" s="2" t="str">
        <f>IF(W9&gt;UnosPodataka!$M$21,"",-VLOOKUP(W9,Anuiteti!$B$13:$E$32,3,FALSE))</f>
        <v/>
      </c>
      <c r="X22" s="2" t="str">
        <f>IF(X9&gt;UnosPodataka!$M$21,"",-VLOOKUP(X9,Anuiteti!$B$13:$E$32,3,FALSE))</f>
        <v/>
      </c>
      <c r="Y22" s="2" t="str">
        <f>IF(Y9&gt;UnosPodataka!$M$21,"",-VLOOKUP(Y9,Anuiteti!$B$13:$E$32,3,FALSE))</f>
        <v/>
      </c>
    </row>
    <row r="23" spans="1:25" x14ac:dyDescent="0.25">
      <c r="A23" s="22" t="s">
        <v>150</v>
      </c>
      <c r="B23" s="22"/>
      <c r="C23" s="22"/>
      <c r="D23" s="22"/>
      <c r="F23" s="2">
        <f>IF(F22="",0,IF(F9&gt;UnosPodataka!$M$24,"",VLOOKUP(F9,Anuiteti!$B$13:$E$32,4,FALSE)+VLOOKUP(F9,Anuiteti!$B$13:$E$32,3,FALSE)))</f>
        <v>-21159.31721194879</v>
      </c>
      <c r="G23" s="2">
        <f>IF(G22="",0,IF(G9&gt;UnosPodataka!$M$24,"",VLOOKUP(G9,Anuiteti!$B$13:$E$32,4,FALSE)+VLOOKUP(G9,Anuiteti!$B$13:$E$32,3,FALSE)))</f>
        <v>-23698.435277382647</v>
      </c>
      <c r="H23" s="2">
        <f>IF(H22="",0,IF(H9&gt;UnosPodataka!$M$24,"",VLOOKUP(H9,Anuiteti!$B$13:$E$32,4,FALSE)+VLOOKUP(H9,Anuiteti!$B$13:$E$32,3,FALSE)))</f>
        <v>-26542.24751066856</v>
      </c>
      <c r="I23" s="2">
        <f>IF(I22="",0,IF(I9&gt;UnosPodataka!$M$24,"",VLOOKUP(I9,Anuiteti!$B$13:$E$32,4,FALSE)+VLOOKUP(I9,Anuiteti!$B$13:$E$32,3,FALSE)))</f>
        <v>0</v>
      </c>
      <c r="J23" s="2">
        <f>IF(J22="",0,IF(J9&gt;UnosPodataka!$M$24,"",VLOOKUP(J9,Anuiteti!$B$13:$E$32,4,FALSE)+VLOOKUP(J9,Anuiteti!$B$13:$E$32,3,FALSE)))</f>
        <v>0</v>
      </c>
      <c r="K23" s="2">
        <f>IF(K22="",0,IF(K9&gt;UnosPodataka!$M$24,"",VLOOKUP(K9,Anuiteti!$B$13:$E$32,4,FALSE)+VLOOKUP(K9,Anuiteti!$B$13:$E$32,3,FALSE)))</f>
        <v>0</v>
      </c>
      <c r="L23" s="2">
        <f>IF(L22="",0,IF(L9&gt;UnosPodataka!$M$24,"",VLOOKUP(L9,Anuiteti!$B$13:$E$32,4,FALSE)+VLOOKUP(L9,Anuiteti!$B$13:$E$32,3,FALSE)))</f>
        <v>0</v>
      </c>
      <c r="M23" s="2">
        <f>IF(M22="",0,IF(M9&gt;UnosPodataka!$M$24,"",VLOOKUP(M9,Anuiteti!$B$13:$E$32,4,FALSE)+VLOOKUP(M9,Anuiteti!$B$13:$E$32,3,FALSE)))</f>
        <v>0</v>
      </c>
      <c r="N23" s="2">
        <f>IF(N22="",0,IF(N9&gt;UnosPodataka!$M$24,"",VLOOKUP(N9,Anuiteti!$B$13:$E$32,4,FALSE)+VLOOKUP(N9,Anuiteti!$B$13:$E$32,3,FALSE)))</f>
        <v>0</v>
      </c>
      <c r="O23" s="2">
        <f>IF(O22="",0,IF(O9&gt;UnosPodataka!$M$24,"",VLOOKUP(O9,Anuiteti!$B$13:$E$32,4,FALSE)+VLOOKUP(O9,Anuiteti!$B$13:$E$32,3,FALSE)))</f>
        <v>0</v>
      </c>
      <c r="P23" s="2">
        <f>IF(P22="",0,IF(P9&gt;UnosPodataka!$M$24,"",VLOOKUP(P9,Anuiteti!$B$13:$E$32,4,FALSE)+VLOOKUP(P9,Anuiteti!$B$13:$E$32,3,FALSE)))</f>
        <v>0</v>
      </c>
      <c r="Q23" s="2">
        <f>IF(Q22="",0,IF(Q9&gt;UnosPodataka!$M$24,"",VLOOKUP(Q9,Anuiteti!$B$13:$E$32,4,FALSE)+VLOOKUP(Q9,Anuiteti!$B$13:$E$32,3,FALSE)))</f>
        <v>0</v>
      </c>
      <c r="R23" s="2">
        <f>IF(R22="",0,IF(R9&gt;UnosPodataka!$M$24,"",VLOOKUP(R9,Anuiteti!$B$13:$E$32,4,FALSE)+VLOOKUP(R9,Anuiteti!$B$13:$E$32,3,FALSE)))</f>
        <v>0</v>
      </c>
      <c r="S23" s="2">
        <f>IF(S22="",0,IF(S9&gt;UnosPodataka!$M$24,"",VLOOKUP(S9,Anuiteti!$B$13:$E$32,4,FALSE)+VLOOKUP(S9,Anuiteti!$B$13:$E$32,3,FALSE)))</f>
        <v>0</v>
      </c>
      <c r="T23" s="2">
        <f>IF(T22="",0,IF(T9&gt;UnosPodataka!$M$24,"",VLOOKUP(T9,Anuiteti!$B$13:$E$32,4,FALSE)+VLOOKUP(T9,Anuiteti!$B$13:$E$32,3,FALSE)))</f>
        <v>0</v>
      </c>
      <c r="U23" s="2">
        <f>IF(U22="",0,IF(U9&gt;UnosPodataka!$M$24,"",VLOOKUP(U9,Anuiteti!$B$13:$E$32,4,FALSE)+VLOOKUP(U9,Anuiteti!$B$13:$E$32,3,FALSE)))</f>
        <v>0</v>
      </c>
      <c r="V23" s="2">
        <f>IF(V22="",0,IF(V9&gt;UnosPodataka!$M$24,"",VLOOKUP(V9,Anuiteti!$B$13:$E$32,4,FALSE)+VLOOKUP(V9,Anuiteti!$B$13:$E$32,3,FALSE)))</f>
        <v>0</v>
      </c>
      <c r="W23" s="2">
        <f>IF(W22="",0,IF(W9&gt;UnosPodataka!$M$24,"",VLOOKUP(W9,Anuiteti!$B$13:$E$32,4,FALSE)+VLOOKUP(W9,Anuiteti!$B$13:$E$32,3,FALSE)))</f>
        <v>0</v>
      </c>
      <c r="X23" s="2">
        <f>IF(X22="",0,IF(X9&gt;UnosPodataka!$M$24,"",VLOOKUP(X9,Anuiteti!$B$13:$E$32,4,FALSE)+VLOOKUP(X9,Anuiteti!$B$13:$E$32,3,FALSE)))</f>
        <v>0</v>
      </c>
      <c r="Y23" s="2">
        <f>IF(Y22="",0,IF(Y9&gt;UnosPodataka!$M$24,"",VLOOKUP(Y9,Anuiteti!$B$13:$E$32,4,FALSE)+VLOOKUP(Y9,Anuiteti!$B$13:$E$32,3,FALSE)))</f>
        <v>0</v>
      </c>
    </row>
    <row r="24" spans="1:25" x14ac:dyDescent="0.25">
      <c r="A24" s="62" t="s">
        <v>102</v>
      </c>
      <c r="B24" s="62"/>
      <c r="C24" s="62"/>
      <c r="D24" s="62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62" t="s">
        <v>103</v>
      </c>
      <c r="B25" s="62"/>
      <c r="C25" s="62"/>
      <c r="D25" s="62"/>
      <c r="F25" s="2">
        <f>IF(F9&lt;&gt;"",-Investment*UnosPodataka!$M$11,"")</f>
        <v>-2742</v>
      </c>
      <c r="G25" s="2">
        <f>IF(G9&lt;&gt;"",-Investment*UnosPodataka!$M$11,"")</f>
        <v>-2742</v>
      </c>
      <c r="H25" s="2">
        <f>IF(H9&lt;&gt;"",-Investment*UnosPodataka!$M$11,"")</f>
        <v>-2742</v>
      </c>
      <c r="I25" s="2">
        <f>IF(I9&lt;&gt;"",-Investment*UnosPodataka!$M$11,"")</f>
        <v>-2742</v>
      </c>
      <c r="J25" s="2">
        <f>IF(J9&lt;&gt;"",-Investment*UnosPodataka!$M$11,"")</f>
        <v>-2742</v>
      </c>
      <c r="K25" s="2">
        <f>IF(K9&lt;&gt;"",-Investment*UnosPodataka!$M$11,"")</f>
        <v>-2742</v>
      </c>
      <c r="L25" s="2">
        <f>IF(L9&lt;&gt;"",-Investment*UnosPodataka!$M$11,"")</f>
        <v>-2742</v>
      </c>
      <c r="M25" s="2">
        <f>IF(M9&lt;&gt;"",-Investment*UnosPodataka!$M$11,"")</f>
        <v>-2742</v>
      </c>
      <c r="N25" s="2">
        <f>IF(N9&lt;&gt;"",-Investment*UnosPodataka!$M$11,"")</f>
        <v>-2742</v>
      </c>
      <c r="O25" s="2">
        <f>IF(O9&lt;&gt;"",-Investment*UnosPodataka!$M$11,"")</f>
        <v>-2742</v>
      </c>
      <c r="P25" s="2">
        <f>IF(P9&lt;&gt;"",-Investment*UnosPodataka!$M$11,"")</f>
        <v>-2742</v>
      </c>
      <c r="Q25" s="2">
        <f>IF(Q9&lt;&gt;"",-Investment*UnosPodataka!$M$11,"")</f>
        <v>-2742</v>
      </c>
      <c r="R25" s="2">
        <f>IF(R9&lt;&gt;"",-Investment*UnosPodataka!$M$11,"")</f>
        <v>-2742</v>
      </c>
      <c r="S25" s="2">
        <f>IF(S9&lt;&gt;"",-Investment*UnosPodataka!$M$11,"")</f>
        <v>-2742</v>
      </c>
      <c r="T25" s="2">
        <f>IF(T9&lt;&gt;"",-Investment*UnosPodataka!$M$11,"")</f>
        <v>-2742</v>
      </c>
      <c r="U25" s="2">
        <f>IF(U9&lt;&gt;"",-Investment*UnosPodataka!$M$11,"")</f>
        <v>-2742</v>
      </c>
      <c r="V25" s="2">
        <f>IF(V9&lt;&gt;"",-Investment*UnosPodataka!$M$11,"")</f>
        <v>-2742</v>
      </c>
      <c r="W25" s="2">
        <f>IF(W9&lt;&gt;"",-Investment*UnosPodataka!$M$11,"")</f>
        <v>-2742</v>
      </c>
      <c r="X25" s="2">
        <f>IF(X9&lt;&gt;"",-Investment*UnosPodataka!$M$11,"")</f>
        <v>-2742</v>
      </c>
      <c r="Y25" s="2">
        <f>IF(Y9&lt;&gt;"",-Investment*UnosPodataka!$M$11,"")</f>
        <v>-2742</v>
      </c>
    </row>
    <row r="26" spans="1:25" x14ac:dyDescent="0.25">
      <c r="A26" s="62" t="s">
        <v>104</v>
      </c>
      <c r="B26" s="62"/>
      <c r="C26" s="62"/>
      <c r="D26" s="62"/>
      <c r="F26" s="2">
        <f>IF(F9&lt;&gt;"",0,"")</f>
        <v>0</v>
      </c>
      <c r="G26" s="2">
        <f t="shared" ref="G26:Y26" si="1">IF(G9&lt;&gt;"",0,"")</f>
        <v>0</v>
      </c>
      <c r="H26" s="2">
        <f t="shared" si="1"/>
        <v>0</v>
      </c>
      <c r="I26" s="2">
        <f t="shared" si="1"/>
        <v>0</v>
      </c>
      <c r="J26" s="2">
        <f t="shared" si="1"/>
        <v>0</v>
      </c>
      <c r="K26" s="2">
        <f t="shared" si="1"/>
        <v>0</v>
      </c>
      <c r="L26" s="2">
        <f t="shared" si="1"/>
        <v>0</v>
      </c>
      <c r="M26" s="2">
        <f t="shared" si="1"/>
        <v>0</v>
      </c>
      <c r="N26" s="2">
        <f t="shared" si="1"/>
        <v>0</v>
      </c>
      <c r="O26" s="2">
        <f t="shared" si="1"/>
        <v>0</v>
      </c>
      <c r="P26" s="2">
        <f t="shared" si="1"/>
        <v>0</v>
      </c>
      <c r="Q26" s="2">
        <f t="shared" si="1"/>
        <v>0</v>
      </c>
      <c r="R26" s="2">
        <f t="shared" si="1"/>
        <v>0</v>
      </c>
      <c r="S26" s="2">
        <f t="shared" si="1"/>
        <v>0</v>
      </c>
      <c r="T26" s="2">
        <f t="shared" si="1"/>
        <v>0</v>
      </c>
      <c r="U26" s="2">
        <f t="shared" si="1"/>
        <v>0</v>
      </c>
      <c r="V26" s="2">
        <f t="shared" si="1"/>
        <v>0</v>
      </c>
      <c r="W26" s="2">
        <f t="shared" si="1"/>
        <v>0</v>
      </c>
      <c r="X26" s="2">
        <f t="shared" si="1"/>
        <v>0</v>
      </c>
      <c r="Y26" s="2">
        <f t="shared" si="1"/>
        <v>0</v>
      </c>
    </row>
    <row r="27" spans="1:25" x14ac:dyDescent="0.25">
      <c r="A27" s="62" t="s">
        <v>151</v>
      </c>
      <c r="B27" s="62"/>
      <c r="C27" s="62"/>
      <c r="D27" s="62"/>
      <c r="F27" s="2">
        <f>IF(F9&lt;&gt;"",-Investment*UnosPodataka!$M$12,"")</f>
        <v>-2285</v>
      </c>
      <c r="G27" s="2">
        <f>IF(G9&lt;&gt;"",-Investment*UnosPodataka!$M$12,"")</f>
        <v>-2285</v>
      </c>
      <c r="H27" s="2">
        <f>IF(H9&lt;&gt;"",-Investment*UnosPodataka!$M$12,"")</f>
        <v>-2285</v>
      </c>
      <c r="I27" s="2">
        <f>IF(I9&lt;&gt;"",-Investment*UnosPodataka!$M$12,"")</f>
        <v>-2285</v>
      </c>
      <c r="J27" s="2">
        <f>IF(J9&lt;&gt;"",-Investment*UnosPodataka!$M$12,"")</f>
        <v>-2285</v>
      </c>
      <c r="K27" s="2">
        <f>IF(K9&lt;&gt;"",-Investment*UnosPodataka!$M$12,"")</f>
        <v>-2285</v>
      </c>
      <c r="L27" s="2">
        <f>IF(L9&lt;&gt;"",-Investment*UnosPodataka!$M$12,"")</f>
        <v>-2285</v>
      </c>
      <c r="M27" s="2">
        <f>IF(M9&lt;&gt;"",-Investment*UnosPodataka!$M$12,"")</f>
        <v>-2285</v>
      </c>
      <c r="N27" s="2">
        <f>IF(N9&lt;&gt;"",-Investment*UnosPodataka!$M$12,"")</f>
        <v>-2285</v>
      </c>
      <c r="O27" s="2">
        <f>IF(O9&lt;&gt;"",-Investment*UnosPodataka!$M$12,"")</f>
        <v>-2285</v>
      </c>
      <c r="P27" s="2">
        <f>IF(P9&lt;&gt;"",-Investment*UnosPodataka!$M$12,"")</f>
        <v>-2285</v>
      </c>
      <c r="Q27" s="2">
        <f>IF(Q9&lt;&gt;"",-Investment*UnosPodataka!$M$12,"")</f>
        <v>-2285</v>
      </c>
      <c r="R27" s="2">
        <f>IF(R9&lt;&gt;"",-Investment*UnosPodataka!$M$12,"")</f>
        <v>-2285</v>
      </c>
      <c r="S27" s="2">
        <f>IF(S9&lt;&gt;"",-Investment*UnosPodataka!$M$12,"")</f>
        <v>-2285</v>
      </c>
      <c r="T27" s="2">
        <f>IF(T9&lt;&gt;"",-Investment*UnosPodataka!$M$12,"")</f>
        <v>-2285</v>
      </c>
      <c r="U27" s="2">
        <f>IF(U9&lt;&gt;"",-Investment*UnosPodataka!$M$12,"")</f>
        <v>-2285</v>
      </c>
      <c r="V27" s="2">
        <f>IF(V9&lt;&gt;"",-Investment*UnosPodataka!$M$12,"")</f>
        <v>-2285</v>
      </c>
      <c r="W27" s="2">
        <f>IF(W9&lt;&gt;"",-Investment*UnosPodataka!$M$12,"")</f>
        <v>-2285</v>
      </c>
      <c r="X27" s="2">
        <f>IF(X9&lt;&gt;"",-Investment*UnosPodataka!$M$12,"")</f>
        <v>-2285</v>
      </c>
      <c r="Y27" s="2">
        <f>IF(Y9&lt;&gt;"",-Investment*UnosPodataka!$M$12,"")</f>
        <v>-2285</v>
      </c>
    </row>
    <row r="28" spans="1:25" x14ac:dyDescent="0.25">
      <c r="A28" s="62" t="s">
        <v>130</v>
      </c>
      <c r="B28" s="62"/>
      <c r="C28" s="62"/>
      <c r="D28" s="62"/>
      <c r="F28" s="2">
        <f>IF(F9&lt;&gt;"",-(1-UnosPodataka!$M$10)*'FinInd+CO2'!F19,"")</f>
        <v>0</v>
      </c>
      <c r="G28" s="2">
        <f>IF(G9&lt;&gt;"",-(1-UnosPodataka!$M$10)*'FinInd+CO2'!G19,"")</f>
        <v>0</v>
      </c>
      <c r="H28" s="2">
        <f>IF(H9&lt;&gt;"",-(1-UnosPodataka!$M$10)*'FinInd+CO2'!H19,"")</f>
        <v>0</v>
      </c>
      <c r="I28" s="2">
        <f>IF(I9&lt;&gt;"",-(1-UnosPodataka!$M$10)*'FinInd+CO2'!I19,"")</f>
        <v>0</v>
      </c>
      <c r="J28" s="2">
        <f>IF(J9&lt;&gt;"",-(1-UnosPodataka!$M$10)*'FinInd+CO2'!J19,"")</f>
        <v>0</v>
      </c>
      <c r="K28" s="2">
        <f>IF(K9&lt;&gt;"",-(1-UnosPodataka!$M$10)*'FinInd+CO2'!K19,"")</f>
        <v>0</v>
      </c>
      <c r="L28" s="2">
        <f>IF(L9&lt;&gt;"",-(1-UnosPodataka!$M$10)*'FinInd+CO2'!L19,"")</f>
        <v>0</v>
      </c>
      <c r="M28" s="2">
        <f>IF(M9&lt;&gt;"",-(1-UnosPodataka!$M$10)*'FinInd+CO2'!M19,"")</f>
        <v>0</v>
      </c>
      <c r="N28" s="2">
        <f>IF(N9&lt;&gt;"",-(1-UnosPodataka!$M$10)*'FinInd+CO2'!N19,"")</f>
        <v>0</v>
      </c>
      <c r="O28" s="2">
        <f>IF(O9&lt;&gt;"",-(1-UnosPodataka!$M$10)*'FinInd+CO2'!O19,"")</f>
        <v>0</v>
      </c>
      <c r="P28" s="2">
        <f>IF(P9&lt;&gt;"",-(1-UnosPodataka!$M$10)*'FinInd+CO2'!P19,"")</f>
        <v>0</v>
      </c>
      <c r="Q28" s="2">
        <f>IF(Q9&lt;&gt;"",-(1-UnosPodataka!$M$10)*'FinInd+CO2'!Q19,"")</f>
        <v>0</v>
      </c>
      <c r="R28" s="2">
        <f>IF(R9&lt;&gt;"",-(1-UnosPodataka!$M$10)*'FinInd+CO2'!R19,"")</f>
        <v>0</v>
      </c>
      <c r="S28" s="2">
        <f>IF(S9&lt;&gt;"",-(1-UnosPodataka!$M$10)*'FinInd+CO2'!S19,"")</f>
        <v>0</v>
      </c>
      <c r="T28" s="2">
        <f>IF(T9&lt;&gt;"",-(1-UnosPodataka!$M$10)*'FinInd+CO2'!T19,"")</f>
        <v>0</v>
      </c>
      <c r="U28" s="2">
        <f>IF(U9&lt;&gt;"",-(1-UnosPodataka!$M$10)*'FinInd+CO2'!U19,"")</f>
        <v>0</v>
      </c>
      <c r="V28" s="2">
        <f>IF(V9&lt;&gt;"",-(1-UnosPodataka!$M$10)*'FinInd+CO2'!V19,"")</f>
        <v>0</v>
      </c>
      <c r="W28" s="2">
        <f>IF(W9&lt;&gt;"",-(1-UnosPodataka!$M$10)*'FinInd+CO2'!W19,"")</f>
        <v>0</v>
      </c>
      <c r="X28" s="2">
        <f>IF(X9&lt;&gt;"",-(1-UnosPodataka!$M$10)*'FinInd+CO2'!X19,"")</f>
        <v>0</v>
      </c>
      <c r="Y28" s="2">
        <f>IF(Y9&lt;&gt;"",-(1-UnosPodataka!$M$10)*'FinInd+CO2'!Y19,"")</f>
        <v>0</v>
      </c>
    </row>
    <row r="29" spans="1:25" x14ac:dyDescent="0.25">
      <c r="A29" s="67" t="s">
        <v>105</v>
      </c>
      <c r="B29" s="67"/>
      <c r="C29" s="67"/>
      <c r="D29" s="67"/>
      <c r="E29" s="37"/>
      <c r="F29" s="38">
        <f>IF(F9&lt;&gt;"",SUM(F22:F28),"")</f>
        <v>-34854.317211948786</v>
      </c>
      <c r="G29" s="38">
        <f t="shared" ref="G29:Y29" si="2">IF(G9&lt;&gt;"",SUM(G22:G28),"")</f>
        <v>-34854.317211948794</v>
      </c>
      <c r="H29" s="38">
        <f t="shared" si="2"/>
        <v>-34854.317211948786</v>
      </c>
      <c r="I29" s="38">
        <f t="shared" si="2"/>
        <v>-5127</v>
      </c>
      <c r="J29" s="38">
        <f t="shared" si="2"/>
        <v>-5127</v>
      </c>
      <c r="K29" s="38">
        <f t="shared" si="2"/>
        <v>-5127</v>
      </c>
      <c r="L29" s="38">
        <f t="shared" si="2"/>
        <v>-5127</v>
      </c>
      <c r="M29" s="38">
        <f t="shared" si="2"/>
        <v>-5127</v>
      </c>
      <c r="N29" s="38">
        <f t="shared" si="2"/>
        <v>-5127</v>
      </c>
      <c r="O29" s="38">
        <f t="shared" si="2"/>
        <v>-5127</v>
      </c>
      <c r="P29" s="38">
        <f t="shared" si="2"/>
        <v>-5127</v>
      </c>
      <c r="Q29" s="38">
        <f t="shared" si="2"/>
        <v>-5127</v>
      </c>
      <c r="R29" s="38">
        <f t="shared" si="2"/>
        <v>-5127</v>
      </c>
      <c r="S29" s="38">
        <f t="shared" si="2"/>
        <v>-5127</v>
      </c>
      <c r="T29" s="38">
        <f t="shared" si="2"/>
        <v>-5127</v>
      </c>
      <c r="U29" s="38">
        <f t="shared" si="2"/>
        <v>-5127</v>
      </c>
      <c r="V29" s="38">
        <f t="shared" si="2"/>
        <v>-5127</v>
      </c>
      <c r="W29" s="38">
        <f t="shared" si="2"/>
        <v>-5127</v>
      </c>
      <c r="X29" s="38">
        <f t="shared" si="2"/>
        <v>-5127</v>
      </c>
      <c r="Y29" s="38">
        <f t="shared" si="2"/>
        <v>-5127</v>
      </c>
    </row>
    <row r="31" spans="1:25" x14ac:dyDescent="0.25">
      <c r="A31" t="s">
        <v>152</v>
      </c>
      <c r="E31" s="2">
        <f>-SUM(E11:E13)</f>
        <v>-91400</v>
      </c>
      <c r="F31" s="2">
        <f>+F29-F27-F34</f>
        <v>-33032.967265434316</v>
      </c>
      <c r="G31" s="2">
        <f t="shared" ref="G31:Y31" si="3">+G29-G27-G34</f>
        <v>-33413.834975249396</v>
      </c>
      <c r="H31" s="2">
        <f t="shared" si="3"/>
        <v>-33840.406810242275</v>
      </c>
      <c r="I31" s="2">
        <f t="shared" si="3"/>
        <v>-4590.8500534855257</v>
      </c>
      <c r="J31" s="2">
        <f t="shared" si="3"/>
        <v>-4590.8500534855257</v>
      </c>
      <c r="K31" s="2">
        <f t="shared" si="3"/>
        <v>-4590.8500534855257</v>
      </c>
      <c r="L31" s="2">
        <f t="shared" si="3"/>
        <v>-4590.8500534855257</v>
      </c>
      <c r="M31" s="2">
        <f t="shared" si="3"/>
        <v>-4590.8500534855257</v>
      </c>
      <c r="N31" s="2">
        <f t="shared" si="3"/>
        <v>-4590.8500534855257</v>
      </c>
      <c r="O31" s="2">
        <f t="shared" si="3"/>
        <v>-4590.8500534855257</v>
      </c>
      <c r="P31" s="2">
        <f t="shared" si="3"/>
        <v>-4590.8500534855257</v>
      </c>
      <c r="Q31" s="2">
        <f t="shared" si="3"/>
        <v>-4590.8500534855257</v>
      </c>
      <c r="R31" s="2">
        <f t="shared" si="3"/>
        <v>-4590.8500534855257</v>
      </c>
      <c r="S31" s="2">
        <f t="shared" si="3"/>
        <v>-4590.8500534855257</v>
      </c>
      <c r="T31" s="2">
        <f t="shared" si="3"/>
        <v>-4590.8500534855257</v>
      </c>
      <c r="U31" s="2">
        <f t="shared" si="3"/>
        <v>-4590.8500534855257</v>
      </c>
      <c r="V31" s="2">
        <f t="shared" si="3"/>
        <v>-4590.8500534855257</v>
      </c>
      <c r="W31" s="2">
        <f t="shared" si="3"/>
        <v>-4590.8500534855257</v>
      </c>
      <c r="X31" s="2">
        <f t="shared" si="3"/>
        <v>-4590.8500534855257</v>
      </c>
      <c r="Y31" s="2">
        <f t="shared" si="3"/>
        <v>-4590.8500534855257</v>
      </c>
    </row>
    <row r="32" spans="1:25" x14ac:dyDescent="0.25">
      <c r="A32" s="57" t="s">
        <v>153</v>
      </c>
      <c r="B32" s="57"/>
      <c r="C32" s="57"/>
      <c r="D32" s="57"/>
      <c r="F32" s="2">
        <f>IF(F9&lt;&gt;"",F19+F29-F23,"")</f>
        <v>3091.0003565701772</v>
      </c>
      <c r="G32" s="2">
        <f t="shared" ref="G32:Y32" si="4">IF(G9&lt;&gt;"",G19+G29-G23,"")</f>
        <v>5630.1184220040268</v>
      </c>
      <c r="H32" s="2">
        <f t="shared" si="4"/>
        <v>8473.930655289947</v>
      </c>
      <c r="I32" s="2">
        <f t="shared" si="4"/>
        <v>11659.000356570174</v>
      </c>
      <c r="J32" s="2">
        <f t="shared" si="4"/>
        <v>11659.000356570174</v>
      </c>
      <c r="K32" s="2">
        <f t="shared" si="4"/>
        <v>11659.000356570174</v>
      </c>
      <c r="L32" s="2">
        <f t="shared" si="4"/>
        <v>11659.000356570174</v>
      </c>
      <c r="M32" s="2">
        <f t="shared" si="4"/>
        <v>11659.000356570174</v>
      </c>
      <c r="N32" s="2">
        <f t="shared" si="4"/>
        <v>11659.000356570174</v>
      </c>
      <c r="O32" s="2">
        <f t="shared" si="4"/>
        <v>11659.000356570174</v>
      </c>
      <c r="P32" s="2">
        <f t="shared" si="4"/>
        <v>11659.000356570174</v>
      </c>
      <c r="Q32" s="2">
        <f t="shared" si="4"/>
        <v>11659.000356570174</v>
      </c>
      <c r="R32" s="2">
        <f t="shared" si="4"/>
        <v>11659.000356570174</v>
      </c>
      <c r="S32" s="2">
        <f t="shared" si="4"/>
        <v>11659.000356570174</v>
      </c>
      <c r="T32" s="2">
        <f t="shared" si="4"/>
        <v>11659.000356570174</v>
      </c>
      <c r="U32" s="2">
        <f t="shared" si="4"/>
        <v>11659.000356570174</v>
      </c>
      <c r="V32" s="2">
        <f t="shared" si="4"/>
        <v>11659.000356570174</v>
      </c>
      <c r="W32" s="2">
        <f t="shared" si="4"/>
        <v>11659.000356570174</v>
      </c>
      <c r="X32" s="2">
        <f t="shared" si="4"/>
        <v>11659.000356570174</v>
      </c>
      <c r="Y32" s="2">
        <f t="shared" si="4"/>
        <v>11659.000356570174</v>
      </c>
    </row>
    <row r="33" spans="1:25" x14ac:dyDescent="0.25">
      <c r="A33" s="63"/>
      <c r="B33" s="63"/>
      <c r="C33" s="63"/>
      <c r="D33" s="63"/>
    </row>
    <row r="34" spans="1:25" x14ac:dyDescent="0.25">
      <c r="A34" s="62" t="s">
        <v>106</v>
      </c>
      <c r="B34" s="62"/>
      <c r="C34" s="62"/>
      <c r="D34" s="62"/>
      <c r="F34" s="2">
        <f>IF(F9&lt;&gt;"",IF(F32&gt;0,F32*VAT,0),"")</f>
        <v>463.65005348552654</v>
      </c>
      <c r="G34" s="2">
        <f t="shared" ref="G34:Y34" si="5">IF(G9&lt;&gt;"",IF(G32&gt;0,G32*VAT,0),"")</f>
        <v>844.51776330060397</v>
      </c>
      <c r="H34" s="2">
        <f t="shared" si="5"/>
        <v>1271.0895982934919</v>
      </c>
      <c r="I34" s="2">
        <f t="shared" si="5"/>
        <v>1748.8500534855259</v>
      </c>
      <c r="J34" s="2">
        <f t="shared" si="5"/>
        <v>1748.8500534855259</v>
      </c>
      <c r="K34" s="2">
        <f t="shared" si="5"/>
        <v>1748.8500534855259</v>
      </c>
      <c r="L34" s="2">
        <f t="shared" si="5"/>
        <v>1748.8500534855259</v>
      </c>
      <c r="M34" s="2">
        <f t="shared" si="5"/>
        <v>1748.8500534855259</v>
      </c>
      <c r="N34" s="2">
        <f t="shared" si="5"/>
        <v>1748.8500534855259</v>
      </c>
      <c r="O34" s="2">
        <f t="shared" si="5"/>
        <v>1748.8500534855259</v>
      </c>
      <c r="P34" s="2">
        <f t="shared" si="5"/>
        <v>1748.8500534855259</v>
      </c>
      <c r="Q34" s="2">
        <f t="shared" si="5"/>
        <v>1748.8500534855259</v>
      </c>
      <c r="R34" s="2">
        <f t="shared" si="5"/>
        <v>1748.8500534855259</v>
      </c>
      <c r="S34" s="2">
        <f t="shared" si="5"/>
        <v>1748.8500534855259</v>
      </c>
      <c r="T34" s="2">
        <f t="shared" si="5"/>
        <v>1748.8500534855259</v>
      </c>
      <c r="U34" s="2">
        <f t="shared" si="5"/>
        <v>1748.8500534855259</v>
      </c>
      <c r="V34" s="2">
        <f t="shared" si="5"/>
        <v>1748.8500534855259</v>
      </c>
      <c r="W34" s="2">
        <f t="shared" si="5"/>
        <v>1748.8500534855259</v>
      </c>
      <c r="X34" s="2">
        <f t="shared" si="5"/>
        <v>1748.8500534855259</v>
      </c>
      <c r="Y34" s="2">
        <f t="shared" si="5"/>
        <v>1748.8500534855259</v>
      </c>
    </row>
    <row r="35" spans="1:25" x14ac:dyDescent="0.25">
      <c r="A35" s="57" t="s">
        <v>107</v>
      </c>
      <c r="B35" s="57"/>
      <c r="C35" s="57"/>
      <c r="D35" s="57"/>
      <c r="E35" s="2"/>
      <c r="F35" s="2">
        <f>IF(F9&lt;&gt;"",F32-F34,"")</f>
        <v>2627.3503030846505</v>
      </c>
      <c r="G35" s="2">
        <f t="shared" ref="G35:Y35" si="6">IF(G9&lt;&gt;"",G32-G34,"")</f>
        <v>4785.6006587034226</v>
      </c>
      <c r="H35" s="2">
        <f t="shared" si="6"/>
        <v>7202.8410569964553</v>
      </c>
      <c r="I35" s="2">
        <f t="shared" si="6"/>
        <v>9910.150303084647</v>
      </c>
      <c r="J35" s="2">
        <f t="shared" si="6"/>
        <v>9910.150303084647</v>
      </c>
      <c r="K35" s="2">
        <f t="shared" si="6"/>
        <v>9910.150303084647</v>
      </c>
      <c r="L35" s="2">
        <f t="shared" si="6"/>
        <v>9910.150303084647</v>
      </c>
      <c r="M35" s="2">
        <f t="shared" si="6"/>
        <v>9910.150303084647</v>
      </c>
      <c r="N35" s="2">
        <f t="shared" si="6"/>
        <v>9910.150303084647</v>
      </c>
      <c r="O35" s="2">
        <f t="shared" si="6"/>
        <v>9910.150303084647</v>
      </c>
      <c r="P35" s="2">
        <f t="shared" si="6"/>
        <v>9910.150303084647</v>
      </c>
      <c r="Q35" s="2">
        <f t="shared" si="6"/>
        <v>9910.150303084647</v>
      </c>
      <c r="R35" s="2">
        <f t="shared" si="6"/>
        <v>9910.150303084647</v>
      </c>
      <c r="S35" s="2">
        <f t="shared" si="6"/>
        <v>9910.150303084647</v>
      </c>
      <c r="T35" s="2">
        <f t="shared" si="6"/>
        <v>9910.150303084647</v>
      </c>
      <c r="U35" s="2">
        <f t="shared" si="6"/>
        <v>9910.150303084647</v>
      </c>
      <c r="V35" s="2">
        <f t="shared" si="6"/>
        <v>9910.150303084647</v>
      </c>
      <c r="W35" s="2">
        <f t="shared" si="6"/>
        <v>9910.150303084647</v>
      </c>
      <c r="X35" s="2">
        <f t="shared" si="6"/>
        <v>9910.150303084647</v>
      </c>
      <c r="Y35" s="2">
        <f t="shared" si="6"/>
        <v>9910.150303084647</v>
      </c>
    </row>
    <row r="37" spans="1:25" x14ac:dyDescent="0.25">
      <c r="A37" s="40" t="s">
        <v>162</v>
      </c>
      <c r="E37" s="2">
        <f>-SUM(E11:E13)</f>
        <v>-91400</v>
      </c>
      <c r="F37" s="2">
        <f>+F35+F23-F27</f>
        <v>-16246.966908864139</v>
      </c>
      <c r="G37" s="2">
        <f t="shared" ref="G37:Y37" si="7">+G35+G23-G27</f>
        <v>-16627.834618679226</v>
      </c>
      <c r="H37" s="2">
        <f t="shared" si="7"/>
        <v>-17054.406453672105</v>
      </c>
      <c r="I37" s="2">
        <f t="shared" si="7"/>
        <v>12195.150303084647</v>
      </c>
      <c r="J37" s="2">
        <f t="shared" si="7"/>
        <v>12195.150303084647</v>
      </c>
      <c r="K37" s="2">
        <f t="shared" si="7"/>
        <v>12195.150303084647</v>
      </c>
      <c r="L37" s="2">
        <f t="shared" si="7"/>
        <v>12195.150303084647</v>
      </c>
      <c r="M37" s="2">
        <f t="shared" si="7"/>
        <v>12195.150303084647</v>
      </c>
      <c r="N37" s="2">
        <f t="shared" si="7"/>
        <v>12195.150303084647</v>
      </c>
      <c r="O37" s="2">
        <f t="shared" si="7"/>
        <v>12195.150303084647</v>
      </c>
      <c r="P37" s="2">
        <f t="shared" si="7"/>
        <v>12195.150303084647</v>
      </c>
      <c r="Q37" s="2">
        <f t="shared" si="7"/>
        <v>12195.150303084647</v>
      </c>
      <c r="R37" s="2">
        <f t="shared" si="7"/>
        <v>12195.150303084647</v>
      </c>
      <c r="S37" s="2">
        <f t="shared" si="7"/>
        <v>12195.150303084647</v>
      </c>
      <c r="T37" s="2">
        <f t="shared" si="7"/>
        <v>12195.150303084647</v>
      </c>
      <c r="U37" s="2">
        <f t="shared" si="7"/>
        <v>12195.150303084647</v>
      </c>
      <c r="V37" s="2">
        <f t="shared" si="7"/>
        <v>12195.150303084647</v>
      </c>
      <c r="W37" s="2">
        <f t="shared" si="7"/>
        <v>12195.150303084647</v>
      </c>
      <c r="X37" s="2">
        <f t="shared" si="7"/>
        <v>12195.150303084647</v>
      </c>
      <c r="Y37" s="2">
        <f t="shared" si="7"/>
        <v>12195.150303084647</v>
      </c>
    </row>
    <row r="38" spans="1:25" x14ac:dyDescent="0.25">
      <c r="A38" s="40" t="s">
        <v>163</v>
      </c>
      <c r="E38" s="2">
        <f>+E37</f>
        <v>-91400</v>
      </c>
      <c r="F38" s="2">
        <f>+E38+F37</f>
        <v>-107646.96690886414</v>
      </c>
      <c r="G38" s="2">
        <f t="shared" ref="G38:Y38" si="8">+F38+G37</f>
        <v>-124274.80152754337</v>
      </c>
      <c r="H38" s="2">
        <f t="shared" si="8"/>
        <v>-141329.20798121547</v>
      </c>
      <c r="I38" s="2">
        <f t="shared" si="8"/>
        <v>-129134.05767813082</v>
      </c>
      <c r="J38" s="2">
        <f t="shared" si="8"/>
        <v>-116938.90737504617</v>
      </c>
      <c r="K38" s="2">
        <f t="shared" si="8"/>
        <v>-104743.75707196152</v>
      </c>
      <c r="L38" s="2">
        <f t="shared" si="8"/>
        <v>-92548.606768876867</v>
      </c>
      <c r="M38" s="2">
        <f t="shared" si="8"/>
        <v>-80353.456465792216</v>
      </c>
      <c r="N38" s="2">
        <f t="shared" si="8"/>
        <v>-68158.306162707566</v>
      </c>
      <c r="O38" s="2">
        <f t="shared" si="8"/>
        <v>-55963.155859622915</v>
      </c>
      <c r="P38" s="2">
        <f t="shared" si="8"/>
        <v>-43768.005556538264</v>
      </c>
      <c r="Q38" s="2">
        <f t="shared" si="8"/>
        <v>-31572.855253453617</v>
      </c>
      <c r="R38" s="2">
        <f t="shared" si="8"/>
        <v>-19377.70495036897</v>
      </c>
      <c r="S38" s="2">
        <f t="shared" si="8"/>
        <v>-7182.5546472843234</v>
      </c>
      <c r="T38" s="2">
        <f t="shared" si="8"/>
        <v>5012.5956558003236</v>
      </c>
      <c r="U38" s="2">
        <f t="shared" si="8"/>
        <v>17207.745958884971</v>
      </c>
      <c r="V38" s="2">
        <f t="shared" si="8"/>
        <v>29402.896261969618</v>
      </c>
      <c r="W38" s="2">
        <f t="shared" si="8"/>
        <v>41598.046565054261</v>
      </c>
      <c r="X38" s="2">
        <f t="shared" si="8"/>
        <v>53793.196868138912</v>
      </c>
      <c r="Y38" s="2">
        <f t="shared" si="8"/>
        <v>65988.347171223562</v>
      </c>
    </row>
    <row r="39" spans="1:25" x14ac:dyDescent="0.25">
      <c r="A39" s="15"/>
    </row>
    <row r="40" spans="1:25" x14ac:dyDescent="0.25">
      <c r="A40" s="40" t="s">
        <v>62</v>
      </c>
      <c r="E40" s="6">
        <f>+PomTab1!L25</f>
        <v>0.10649890590809628</v>
      </c>
    </row>
    <row r="41" spans="1:25" x14ac:dyDescent="0.25">
      <c r="A41" s="40" t="s">
        <v>164</v>
      </c>
      <c r="E41" s="2">
        <f>IF(E9&lt;&gt;"",E37*(1+$E$40)^-E9,"")</f>
        <v>-91400</v>
      </c>
      <c r="F41" s="2">
        <f>IF(F9&lt;&gt;"",F37*(1+$E$40)^-F9,"")</f>
        <v>-14683.220039454409</v>
      </c>
      <c r="G41" s="2">
        <f t="shared" ref="G41:Y41" si="9">IF(G9&lt;&gt;"",G37*(1+$E$40)^-G9,"")</f>
        <v>-13581.061587537319</v>
      </c>
      <c r="H41" s="2">
        <f t="shared" si="9"/>
        <v>-12588.779964060097</v>
      </c>
      <c r="I41" s="2">
        <f t="shared" si="9"/>
        <v>8135.480377862139</v>
      </c>
      <c r="J41" s="2">
        <f t="shared" si="9"/>
        <v>7352.4522567741778</v>
      </c>
      <c r="K41" s="2">
        <f t="shared" si="9"/>
        <v>6644.7894503249136</v>
      </c>
      <c r="L41" s="2">
        <f t="shared" si="9"/>
        <v>6005.2381568977498</v>
      </c>
      <c r="M41" s="2">
        <f t="shared" si="9"/>
        <v>5427.2427427023003</v>
      </c>
      <c r="N41" s="2">
        <f t="shared" si="9"/>
        <v>4904.878544139362</v>
      </c>
      <c r="O41" s="2">
        <f t="shared" si="9"/>
        <v>4432.7911378402687</v>
      </c>
      <c r="P41" s="2">
        <f t="shared" si="9"/>
        <v>4006.1414558763672</v>
      </c>
      <c r="Q41" s="2">
        <f t="shared" si="9"/>
        <v>3620.5561835495482</v>
      </c>
      <c r="R41" s="2">
        <f t="shared" si="9"/>
        <v>3272.0829313230834</v>
      </c>
      <c r="S41" s="2">
        <f t="shared" si="9"/>
        <v>2957.1497213887501</v>
      </c>
      <c r="T41" s="2">
        <f t="shared" si="9"/>
        <v>2672.5283735927756</v>
      </c>
      <c r="U41" s="2">
        <f t="shared" si="9"/>
        <v>2415.3014154130133</v>
      </c>
      <c r="V41" s="2">
        <f t="shared" si="9"/>
        <v>2182.8321768025535</v>
      </c>
      <c r="W41" s="2">
        <f t="shared" si="9"/>
        <v>1972.7377633610201</v>
      </c>
      <c r="X41" s="2">
        <f t="shared" si="9"/>
        <v>1782.8646307987149</v>
      </c>
      <c r="Y41" s="2">
        <f t="shared" si="9"/>
        <v>1611.2665103229633</v>
      </c>
    </row>
    <row r="42" spans="1:25" x14ac:dyDescent="0.25">
      <c r="A42" s="40" t="s">
        <v>165</v>
      </c>
      <c r="E42" s="2">
        <f>+E41</f>
        <v>-91400</v>
      </c>
      <c r="F42" s="2">
        <f>+E42+F41</f>
        <v>-106083.22003945441</v>
      </c>
      <c r="G42" s="2">
        <f t="shared" ref="G42:Y42" si="10">+F42+G41</f>
        <v>-119664.28162699172</v>
      </c>
      <c r="H42" s="2">
        <f t="shared" si="10"/>
        <v>-132253.06159105181</v>
      </c>
      <c r="I42" s="2">
        <f t="shared" si="10"/>
        <v>-124117.58121318967</v>
      </c>
      <c r="J42" s="2">
        <f t="shared" si="10"/>
        <v>-116765.12895641549</v>
      </c>
      <c r="K42" s="2">
        <f t="shared" si="10"/>
        <v>-110120.33950609058</v>
      </c>
      <c r="L42" s="2">
        <f t="shared" si="10"/>
        <v>-104115.10134919283</v>
      </c>
      <c r="M42" s="2">
        <f t="shared" si="10"/>
        <v>-98687.858606490525</v>
      </c>
      <c r="N42" s="2">
        <f t="shared" si="10"/>
        <v>-93782.980062351169</v>
      </c>
      <c r="O42" s="2">
        <f t="shared" si="10"/>
        <v>-89350.188924510905</v>
      </c>
      <c r="P42" s="2">
        <f t="shared" si="10"/>
        <v>-85344.047468634541</v>
      </c>
      <c r="Q42" s="2">
        <f t="shared" si="10"/>
        <v>-81723.491285084994</v>
      </c>
      <c r="R42" s="2">
        <f t="shared" si="10"/>
        <v>-78451.408353761915</v>
      </c>
      <c r="S42" s="2">
        <f t="shared" si="10"/>
        <v>-75494.258632373167</v>
      </c>
      <c r="T42" s="2">
        <f t="shared" si="10"/>
        <v>-72821.730258780386</v>
      </c>
      <c r="U42" s="2">
        <f t="shared" si="10"/>
        <v>-70406.428843367379</v>
      </c>
      <c r="V42" s="2">
        <f t="shared" si="10"/>
        <v>-68223.59666656483</v>
      </c>
      <c r="W42" s="2">
        <f t="shared" si="10"/>
        <v>-66250.858903203814</v>
      </c>
      <c r="X42" s="2">
        <f t="shared" si="10"/>
        <v>-64467.9942724051</v>
      </c>
      <c r="Y42" s="2">
        <f t="shared" si="10"/>
        <v>-62856.727762082133</v>
      </c>
    </row>
    <row r="43" spans="1:25" x14ac:dyDescent="0.25">
      <c r="A43" s="40"/>
    </row>
    <row r="44" spans="1:25" x14ac:dyDescent="0.25">
      <c r="A44" s="41" t="s">
        <v>166</v>
      </c>
      <c r="B44" s="45"/>
      <c r="C44" s="45"/>
      <c r="D44" s="45"/>
      <c r="E44" s="42">
        <f>+NPV(E40,E37:Y37)</f>
        <v>-56806.859389071025</v>
      </c>
    </row>
    <row r="45" spans="1:25" x14ac:dyDescent="0.25">
      <c r="A45" s="41" t="s">
        <v>167</v>
      </c>
      <c r="B45" s="45"/>
      <c r="C45" s="45"/>
      <c r="D45" s="45"/>
      <c r="E45" s="43">
        <f>+IRR(E37:Y37,10%)</f>
        <v>3.5821474257466734E-2</v>
      </c>
    </row>
    <row r="46" spans="1:25" x14ac:dyDescent="0.25">
      <c r="A46" s="41" t="s">
        <v>168</v>
      </c>
      <c r="B46" s="45"/>
      <c r="C46" s="45"/>
      <c r="D46" s="45"/>
      <c r="E46" s="42" cm="1">
        <f t="array" ref="E46">+NPV(E40,F19:Y19/-NPV(E40,E31:Y31))</f>
        <v>0.75813215497733566</v>
      </c>
    </row>
    <row r="47" spans="1:25" x14ac:dyDescent="0.25">
      <c r="A47" s="41" t="s">
        <v>169</v>
      </c>
      <c r="B47" s="45"/>
      <c r="C47" s="45"/>
      <c r="D47" s="45"/>
      <c r="E47" s="44" cm="1">
        <f t="array" ref="E47">+LOOKUP(INDEX(E38:Y38,MATCH(TRUE,E38:Y38&gt;0,0)),E38:Y38,E9:Y9)</f>
        <v>15</v>
      </c>
    </row>
    <row r="48" spans="1:25" x14ac:dyDescent="0.25">
      <c r="A48" s="41" t="s">
        <v>170</v>
      </c>
      <c r="B48" s="45"/>
      <c r="C48" s="45"/>
      <c r="D48" s="45"/>
      <c r="E48" s="44" t="e" cm="1">
        <f t="array" ref="E48">+LOOKUP(INDEX(E42:Y42,MATCH(TRUE,E42:Y42&gt;0,0)),E42:Y42,E9:Y9)</f>
        <v>#N/A</v>
      </c>
    </row>
    <row r="51" spans="1:26" x14ac:dyDescent="0.25">
      <c r="A51" s="62" t="s">
        <v>154</v>
      </c>
      <c r="B51" s="62"/>
      <c r="C51" s="62"/>
      <c r="D51" s="62"/>
      <c r="E51" s="2">
        <f>-SUM(E11:E13)</f>
        <v>-91400</v>
      </c>
      <c r="F51" s="2">
        <f t="shared" ref="F51:Y51" si="11">IF(F9&lt;&gt;"",F29,"")</f>
        <v>-34854.317211948786</v>
      </c>
      <c r="G51" s="2">
        <f t="shared" si="11"/>
        <v>-34854.317211948794</v>
      </c>
      <c r="H51" s="2">
        <f t="shared" si="11"/>
        <v>-34854.317211948786</v>
      </c>
      <c r="I51" s="2">
        <f t="shared" si="11"/>
        <v>-5127</v>
      </c>
      <c r="J51" s="2">
        <f t="shared" si="11"/>
        <v>-5127</v>
      </c>
      <c r="K51" s="2">
        <f t="shared" si="11"/>
        <v>-5127</v>
      </c>
      <c r="L51" s="2">
        <f t="shared" si="11"/>
        <v>-5127</v>
      </c>
      <c r="M51" s="2">
        <f t="shared" si="11"/>
        <v>-5127</v>
      </c>
      <c r="N51" s="2">
        <f t="shared" si="11"/>
        <v>-5127</v>
      </c>
      <c r="O51" s="2">
        <f t="shared" si="11"/>
        <v>-5127</v>
      </c>
      <c r="P51" s="2">
        <f t="shared" si="11"/>
        <v>-5127</v>
      </c>
      <c r="Q51" s="2">
        <f t="shared" si="11"/>
        <v>-5127</v>
      </c>
      <c r="R51" s="2">
        <f t="shared" si="11"/>
        <v>-5127</v>
      </c>
      <c r="S51" s="2">
        <f t="shared" si="11"/>
        <v>-5127</v>
      </c>
      <c r="T51" s="2">
        <f t="shared" si="11"/>
        <v>-5127</v>
      </c>
      <c r="U51" s="2">
        <f t="shared" si="11"/>
        <v>-5127</v>
      </c>
      <c r="V51" s="2">
        <f t="shared" si="11"/>
        <v>-5127</v>
      </c>
      <c r="W51" s="2">
        <f t="shared" si="11"/>
        <v>-5127</v>
      </c>
      <c r="X51" s="2">
        <f t="shared" si="11"/>
        <v>-5127</v>
      </c>
      <c r="Y51" s="2">
        <f t="shared" si="11"/>
        <v>-5127</v>
      </c>
      <c r="Z51" s="2"/>
    </row>
    <row r="52" spans="1:26" x14ac:dyDescent="0.25">
      <c r="A52" s="62" t="s">
        <v>155</v>
      </c>
      <c r="B52" s="62"/>
      <c r="C52" s="62"/>
      <c r="D52" s="62"/>
      <c r="E52" s="2">
        <f>IF(E9&lt;&gt;"",E51*(1+$E$40)^-E9,"")</f>
        <v>-91400</v>
      </c>
      <c r="F52" s="2">
        <f>IF(F9&lt;&gt;"",F51*(1+$E$40)^-F9,"")</f>
        <v>-31499.640013962849</v>
      </c>
      <c r="G52" s="2">
        <f t="shared" ref="G52:Y52" si="12">IF(G9&lt;&gt;"",G51*(1+$E$40)^-G9,"")</f>
        <v>-28467.845603617036</v>
      </c>
      <c r="H52" s="2">
        <f t="shared" si="12"/>
        <v>-25727.856983512927</v>
      </c>
      <c r="I52" s="2">
        <f t="shared" si="12"/>
        <v>-3420.2618959726055</v>
      </c>
      <c r="J52" s="2">
        <f t="shared" si="12"/>
        <v>-3091.0666768040046</v>
      </c>
      <c r="K52" s="2">
        <f t="shared" si="12"/>
        <v>-2793.5560173619751</v>
      </c>
      <c r="L52" s="2">
        <f t="shared" si="12"/>
        <v>-2524.680324983532</v>
      </c>
      <c r="M52" s="2">
        <f t="shared" si="12"/>
        <v>-2281.6835258517895</v>
      </c>
      <c r="N52" s="2">
        <f t="shared" si="12"/>
        <v>-2062.0748142351094</v>
      </c>
      <c r="O52" s="2">
        <f t="shared" si="12"/>
        <v>-1863.6031208207824</v>
      </c>
      <c r="P52" s="2">
        <f t="shared" si="12"/>
        <v>-1684.2340384343493</v>
      </c>
      <c r="Q52" s="2">
        <f t="shared" si="12"/>
        <v>-1522.1289686247906</v>
      </c>
      <c r="R52" s="2">
        <f t="shared" si="12"/>
        <v>-1375.6262753604708</v>
      </c>
      <c r="S52" s="2">
        <f t="shared" si="12"/>
        <v>-1243.2242526543698</v>
      </c>
      <c r="T52" s="2">
        <f t="shared" si="12"/>
        <v>-1123.5657315305377</v>
      </c>
      <c r="U52" s="2">
        <f t="shared" si="12"/>
        <v>-1015.424168547582</v>
      </c>
      <c r="V52" s="2">
        <f t="shared" si="12"/>
        <v>-917.691073281478</v>
      </c>
      <c r="W52" s="2">
        <f t="shared" si="12"/>
        <v>-829.36464589482364</v>
      </c>
      <c r="X52" s="2">
        <f t="shared" si="12"/>
        <v>-749.5395083234805</v>
      </c>
      <c r="Y52" s="2">
        <f t="shared" si="12"/>
        <v>-677.39742382152519</v>
      </c>
      <c r="Z52" s="2"/>
    </row>
    <row r="53" spans="1:26" x14ac:dyDescent="0.25">
      <c r="A53" s="62" t="s">
        <v>156</v>
      </c>
      <c r="B53" s="62"/>
      <c r="C53" s="62"/>
      <c r="D53" s="62"/>
      <c r="E53" s="2">
        <f>+E52</f>
        <v>-91400</v>
      </c>
      <c r="F53" s="2">
        <f>+E53+F52</f>
        <v>-122899.64001396285</v>
      </c>
      <c r="G53" s="2">
        <f t="shared" ref="G53:X53" si="13">+F53+G52</f>
        <v>-151367.48561757989</v>
      </c>
      <c r="H53" s="2">
        <f t="shared" si="13"/>
        <v>-177095.34260109282</v>
      </c>
      <c r="I53" s="2">
        <f t="shared" si="13"/>
        <v>-180515.60449706542</v>
      </c>
      <c r="J53" s="2">
        <f t="shared" si="13"/>
        <v>-183606.67117386943</v>
      </c>
      <c r="K53" s="2">
        <f t="shared" si="13"/>
        <v>-186400.22719123142</v>
      </c>
      <c r="L53" s="2">
        <f t="shared" si="13"/>
        <v>-188924.90751621494</v>
      </c>
      <c r="M53" s="2">
        <f t="shared" si="13"/>
        <v>-191206.59104206672</v>
      </c>
      <c r="N53" s="2">
        <f t="shared" si="13"/>
        <v>-193268.66585630184</v>
      </c>
      <c r="O53" s="2">
        <f t="shared" si="13"/>
        <v>-195132.26897712261</v>
      </c>
      <c r="P53" s="2">
        <f t="shared" si="13"/>
        <v>-196816.50301555695</v>
      </c>
      <c r="Q53" s="2">
        <f t="shared" si="13"/>
        <v>-198338.63198418173</v>
      </c>
      <c r="R53" s="2">
        <f t="shared" si="13"/>
        <v>-199714.2582595422</v>
      </c>
      <c r="S53" s="2">
        <f t="shared" si="13"/>
        <v>-200957.48251219656</v>
      </c>
      <c r="T53" s="2">
        <f t="shared" si="13"/>
        <v>-202081.0482437271</v>
      </c>
      <c r="U53" s="2">
        <f t="shared" si="13"/>
        <v>-203096.47241227468</v>
      </c>
      <c r="V53" s="2">
        <f t="shared" si="13"/>
        <v>-204014.16348555617</v>
      </c>
      <c r="W53" s="2">
        <f t="shared" si="13"/>
        <v>-204843.52813145099</v>
      </c>
      <c r="X53" s="2">
        <f t="shared" si="13"/>
        <v>-205593.06763977447</v>
      </c>
      <c r="Y53" s="2">
        <f>+X53+Y52</f>
        <v>-206270.465063596</v>
      </c>
    </row>
    <row r="54" spans="1:26" x14ac:dyDescent="0.25">
      <c r="A54" s="62" t="s">
        <v>157</v>
      </c>
      <c r="B54" s="62"/>
      <c r="C54" s="62"/>
      <c r="D54" s="62"/>
      <c r="F54" s="2">
        <f t="shared" ref="F54:Y54" si="14">IF(F9&lt;&gt;"",F19,"")</f>
        <v>16786.000356570174</v>
      </c>
      <c r="G54" s="2">
        <f t="shared" si="14"/>
        <v>16786.000356570174</v>
      </c>
      <c r="H54" s="2">
        <f t="shared" si="14"/>
        <v>16786.000356570174</v>
      </c>
      <c r="I54" s="2">
        <f t="shared" si="14"/>
        <v>16786.000356570174</v>
      </c>
      <c r="J54" s="2">
        <f t="shared" si="14"/>
        <v>16786.000356570174</v>
      </c>
      <c r="K54" s="2">
        <f t="shared" si="14"/>
        <v>16786.000356570174</v>
      </c>
      <c r="L54" s="2">
        <f t="shared" si="14"/>
        <v>16786.000356570174</v>
      </c>
      <c r="M54" s="2">
        <f t="shared" si="14"/>
        <v>16786.000356570174</v>
      </c>
      <c r="N54" s="2">
        <f t="shared" si="14"/>
        <v>16786.000356570174</v>
      </c>
      <c r="O54" s="2">
        <f t="shared" si="14"/>
        <v>16786.000356570174</v>
      </c>
      <c r="P54" s="2">
        <f t="shared" si="14"/>
        <v>16786.000356570174</v>
      </c>
      <c r="Q54" s="2">
        <f t="shared" si="14"/>
        <v>16786.000356570174</v>
      </c>
      <c r="R54" s="2">
        <f t="shared" si="14"/>
        <v>16786.000356570174</v>
      </c>
      <c r="S54" s="2">
        <f t="shared" si="14"/>
        <v>16786.000356570174</v>
      </c>
      <c r="T54" s="2">
        <f t="shared" si="14"/>
        <v>16786.000356570174</v>
      </c>
      <c r="U54" s="2">
        <f t="shared" si="14"/>
        <v>16786.000356570174</v>
      </c>
      <c r="V54" s="2">
        <f t="shared" si="14"/>
        <v>16786.000356570174</v>
      </c>
      <c r="W54" s="2">
        <f t="shared" si="14"/>
        <v>16786.000356570174</v>
      </c>
      <c r="X54" s="2">
        <f t="shared" si="14"/>
        <v>16786.000356570174</v>
      </c>
      <c r="Y54" s="2">
        <f t="shared" si="14"/>
        <v>16786.000356570174</v>
      </c>
    </row>
    <row r="55" spans="1:26" x14ac:dyDescent="0.25">
      <c r="A55" s="62" t="s">
        <v>158</v>
      </c>
      <c r="B55" s="62"/>
      <c r="C55" s="62"/>
      <c r="D55" s="62"/>
      <c r="F55" s="2">
        <f>IF(F9&lt;&gt;"",F54*(1+$E$40)^-F9,"")</f>
        <v>15170.372303978027</v>
      </c>
      <c r="G55" s="2">
        <f t="shared" ref="G55:Y55" si="15">IF(G9&lt;&gt;"",G54*(1+$E$40)^-G9,"")</f>
        <v>13710.246095117287</v>
      </c>
      <c r="H55" s="2">
        <f t="shared" si="15"/>
        <v>12390.654904322188</v>
      </c>
      <c r="I55" s="2">
        <f t="shared" si="15"/>
        <v>11198.07244106876</v>
      </c>
      <c r="J55" s="2">
        <f t="shared" si="15"/>
        <v>10120.274300568402</v>
      </c>
      <c r="K55" s="2">
        <f t="shared" si="15"/>
        <v>9146.2126591645938</v>
      </c>
      <c r="L55" s="2">
        <f t="shared" si="15"/>
        <v>8265.9030301149342</v>
      </c>
      <c r="M55" s="2">
        <f t="shared" si="15"/>
        <v>7470.3219189639995</v>
      </c>
      <c r="N55" s="2">
        <f t="shared" si="15"/>
        <v>6751.3143294372767</v>
      </c>
      <c r="O55" s="2">
        <f t="shared" si="15"/>
        <v>6101.5101717579364</v>
      </c>
      <c r="P55" s="2">
        <f t="shared" si="15"/>
        <v>5514.2487165411758</v>
      </c>
      <c r="Q55" s="2">
        <f t="shared" si="15"/>
        <v>4983.510319891071</v>
      </c>
      <c r="R55" s="2">
        <f t="shared" si="15"/>
        <v>4503.8547198572578</v>
      </c>
      <c r="S55" s="2">
        <f t="shared" si="15"/>
        <v>4070.3652717676887</v>
      </c>
      <c r="T55" s="2">
        <f t="shared" si="15"/>
        <v>3678.5985508292633</v>
      </c>
      <c r="U55" s="2">
        <f t="shared" si="15"/>
        <v>3324.5388054046584</v>
      </c>
      <c r="V55" s="2">
        <f t="shared" si="15"/>
        <v>3004.5567940948226</v>
      </c>
      <c r="W55" s="2">
        <f t="shared" si="15"/>
        <v>2715.372584692258</v>
      </c>
      <c r="X55" s="2">
        <f t="shared" si="15"/>
        <v>2454.0219336807836</v>
      </c>
      <c r="Y55" s="2">
        <f t="shared" si="15"/>
        <v>2217.8259016594188</v>
      </c>
    </row>
    <row r="56" spans="1:26" x14ac:dyDescent="0.25">
      <c r="A56" s="62" t="s">
        <v>159</v>
      </c>
      <c r="B56" s="62"/>
      <c r="C56" s="62"/>
      <c r="D56" s="62"/>
      <c r="F56" s="2">
        <f t="shared" ref="F56:Y56" si="16">IF(F9&lt;&gt;"",E56+F55,"")</f>
        <v>15170.372303978027</v>
      </c>
      <c r="G56" s="2">
        <f t="shared" si="16"/>
        <v>28880.618399095314</v>
      </c>
      <c r="H56" s="2">
        <f t="shared" si="16"/>
        <v>41271.273303417503</v>
      </c>
      <c r="I56" s="2">
        <f t="shared" si="16"/>
        <v>52469.345744486265</v>
      </c>
      <c r="J56" s="2">
        <f t="shared" si="16"/>
        <v>62589.620045054668</v>
      </c>
      <c r="K56" s="2">
        <f t="shared" si="16"/>
        <v>71735.832704219269</v>
      </c>
      <c r="L56" s="2">
        <f t="shared" si="16"/>
        <v>80001.735734334201</v>
      </c>
      <c r="M56" s="2">
        <f t="shared" si="16"/>
        <v>87472.057653298194</v>
      </c>
      <c r="N56" s="2">
        <f t="shared" si="16"/>
        <v>94223.371982735465</v>
      </c>
      <c r="O56" s="2">
        <f t="shared" si="16"/>
        <v>100324.8821544934</v>
      </c>
      <c r="P56" s="2">
        <f t="shared" si="16"/>
        <v>105839.13087103458</v>
      </c>
      <c r="Q56" s="2">
        <f t="shared" si="16"/>
        <v>110822.64119092564</v>
      </c>
      <c r="R56" s="2">
        <f t="shared" si="16"/>
        <v>115326.49591078291</v>
      </c>
      <c r="S56" s="2">
        <f t="shared" si="16"/>
        <v>119396.86118255059</v>
      </c>
      <c r="T56" s="2">
        <f t="shared" si="16"/>
        <v>123075.45973337986</v>
      </c>
      <c r="U56" s="2">
        <f t="shared" si="16"/>
        <v>126399.99853878452</v>
      </c>
      <c r="V56" s="2">
        <f t="shared" si="16"/>
        <v>129404.55533287935</v>
      </c>
      <c r="W56" s="2">
        <f t="shared" si="16"/>
        <v>132119.92791757159</v>
      </c>
      <c r="X56" s="2">
        <f t="shared" si="16"/>
        <v>134573.94985125237</v>
      </c>
      <c r="Y56" s="2">
        <f t="shared" si="16"/>
        <v>136791.77575291178</v>
      </c>
    </row>
    <row r="57" spans="1:26" x14ac:dyDescent="0.25">
      <c r="A57" s="62" t="s">
        <v>160</v>
      </c>
      <c r="B57" s="62"/>
      <c r="C57" s="62"/>
      <c r="D57" s="62"/>
      <c r="F57" s="2">
        <f t="shared" ref="F57:Y57" si="17">IF(F9&lt;&gt;"",F56+F53,"")</f>
        <v>-107729.26770998482</v>
      </c>
      <c r="G57" s="2">
        <f t="shared" si="17"/>
        <v>-122486.86721848458</v>
      </c>
      <c r="H57" s="2">
        <f t="shared" si="17"/>
        <v>-135824.06929767533</v>
      </c>
      <c r="I57" s="2">
        <f t="shared" si="17"/>
        <v>-128046.25875257916</v>
      </c>
      <c r="J57" s="2">
        <f t="shared" si="17"/>
        <v>-121017.05112881475</v>
      </c>
      <c r="K57" s="2">
        <f t="shared" si="17"/>
        <v>-114664.39448701215</v>
      </c>
      <c r="L57" s="2">
        <f t="shared" si="17"/>
        <v>-108923.17178188074</v>
      </c>
      <c r="M57" s="2">
        <f t="shared" si="17"/>
        <v>-103734.53338876853</v>
      </c>
      <c r="N57" s="2">
        <f t="shared" si="17"/>
        <v>-99045.293873566377</v>
      </c>
      <c r="O57" s="2">
        <f t="shared" si="17"/>
        <v>-94807.386822629211</v>
      </c>
      <c r="P57" s="2">
        <f t="shared" si="17"/>
        <v>-90977.372144522378</v>
      </c>
      <c r="Q57" s="2">
        <f t="shared" si="17"/>
        <v>-87515.990793256089</v>
      </c>
      <c r="R57" s="2">
        <f t="shared" si="17"/>
        <v>-84387.762348759294</v>
      </c>
      <c r="S57" s="2">
        <f t="shared" si="17"/>
        <v>-81560.621329645961</v>
      </c>
      <c r="T57" s="2">
        <f t="shared" si="17"/>
        <v>-79005.588510347239</v>
      </c>
      <c r="U57" s="2">
        <f t="shared" si="17"/>
        <v>-76696.473873490162</v>
      </c>
      <c r="V57" s="2">
        <f t="shared" si="17"/>
        <v>-74609.608152676825</v>
      </c>
      <c r="W57" s="2">
        <f t="shared" si="17"/>
        <v>-72723.600213879399</v>
      </c>
      <c r="X57" s="2">
        <f t="shared" si="17"/>
        <v>-71019.117788522097</v>
      </c>
      <c r="Y57" s="2">
        <f t="shared" si="17"/>
        <v>-69478.689310684218</v>
      </c>
    </row>
    <row r="58" spans="1:26" x14ac:dyDescent="0.25">
      <c r="A58" s="39" t="s">
        <v>161</v>
      </c>
      <c r="B58" s="39"/>
      <c r="C58" s="39"/>
      <c r="D58" s="39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60" spans="1:26" x14ac:dyDescent="0.25">
      <c r="A60" s="62" t="s">
        <v>108</v>
      </c>
      <c r="B60" s="62"/>
      <c r="C60" s="62"/>
      <c r="D60" s="62"/>
      <c r="E60" s="2">
        <f t="shared" ref="E60:Y60" si="18">IF(E9="",D60,-E53)</f>
        <v>91400</v>
      </c>
      <c r="F60" s="2">
        <f t="shared" si="18"/>
        <v>122899.64001396285</v>
      </c>
      <c r="G60" s="2">
        <f t="shared" si="18"/>
        <v>151367.48561757989</v>
      </c>
      <c r="H60" s="2">
        <f t="shared" si="18"/>
        <v>177095.34260109282</v>
      </c>
      <c r="I60" s="2">
        <f t="shared" si="18"/>
        <v>180515.60449706542</v>
      </c>
      <c r="J60" s="2">
        <f t="shared" si="18"/>
        <v>183606.67117386943</v>
      </c>
      <c r="K60" s="2">
        <f t="shared" si="18"/>
        <v>186400.22719123142</v>
      </c>
      <c r="L60" s="2">
        <f t="shared" si="18"/>
        <v>188924.90751621494</v>
      </c>
      <c r="M60" s="2">
        <f t="shared" si="18"/>
        <v>191206.59104206672</v>
      </c>
      <c r="N60" s="2">
        <f t="shared" si="18"/>
        <v>193268.66585630184</v>
      </c>
      <c r="O60" s="2">
        <f t="shared" si="18"/>
        <v>195132.26897712261</v>
      </c>
      <c r="P60" s="2">
        <f t="shared" si="18"/>
        <v>196816.50301555695</v>
      </c>
      <c r="Q60" s="2">
        <f t="shared" si="18"/>
        <v>198338.63198418173</v>
      </c>
      <c r="R60" s="2">
        <f t="shared" si="18"/>
        <v>199714.2582595422</v>
      </c>
      <c r="S60" s="2">
        <f t="shared" si="18"/>
        <v>200957.48251219656</v>
      </c>
      <c r="T60" s="2">
        <f t="shared" si="18"/>
        <v>202081.0482437271</v>
      </c>
      <c r="U60" s="2">
        <f t="shared" si="18"/>
        <v>203096.47241227468</v>
      </c>
      <c r="V60" s="2">
        <f t="shared" si="18"/>
        <v>204014.16348555617</v>
      </c>
      <c r="W60" s="2">
        <f t="shared" si="18"/>
        <v>204843.52813145099</v>
      </c>
      <c r="X60" s="2">
        <f t="shared" si="18"/>
        <v>205593.06763977447</v>
      </c>
      <c r="Y60" s="2">
        <f t="shared" si="18"/>
        <v>206270.465063596</v>
      </c>
    </row>
    <row r="61" spans="1:26" x14ac:dyDescent="0.25">
      <c r="A61" s="62" t="s">
        <v>109</v>
      </c>
      <c r="B61" s="62"/>
      <c r="C61" s="62"/>
      <c r="D61" s="62"/>
      <c r="F61" s="2">
        <f t="shared" ref="F61:Y61" si="19">IF(F9="",E61,F56)</f>
        <v>15170.372303978027</v>
      </c>
      <c r="G61" s="2">
        <f t="shared" si="19"/>
        <v>28880.618399095314</v>
      </c>
      <c r="H61" s="2">
        <f t="shared" si="19"/>
        <v>41271.273303417503</v>
      </c>
      <c r="I61" s="2">
        <f t="shared" si="19"/>
        <v>52469.345744486265</v>
      </c>
      <c r="J61" s="2">
        <f t="shared" si="19"/>
        <v>62589.620045054668</v>
      </c>
      <c r="K61" s="2">
        <f t="shared" si="19"/>
        <v>71735.832704219269</v>
      </c>
      <c r="L61" s="2">
        <f t="shared" si="19"/>
        <v>80001.735734334201</v>
      </c>
      <c r="M61" s="2">
        <f t="shared" si="19"/>
        <v>87472.057653298194</v>
      </c>
      <c r="N61" s="2">
        <f t="shared" si="19"/>
        <v>94223.371982735465</v>
      </c>
      <c r="O61" s="2">
        <f t="shared" si="19"/>
        <v>100324.8821544934</v>
      </c>
      <c r="P61" s="2">
        <f t="shared" si="19"/>
        <v>105839.13087103458</v>
      </c>
      <c r="Q61" s="2">
        <f t="shared" si="19"/>
        <v>110822.64119092564</v>
      </c>
      <c r="R61" s="2">
        <f t="shared" si="19"/>
        <v>115326.49591078291</v>
      </c>
      <c r="S61" s="2">
        <f t="shared" si="19"/>
        <v>119396.86118255059</v>
      </c>
      <c r="T61" s="2">
        <f t="shared" si="19"/>
        <v>123075.45973337986</v>
      </c>
      <c r="U61" s="2">
        <f t="shared" si="19"/>
        <v>126399.99853878452</v>
      </c>
      <c r="V61" s="2">
        <f t="shared" si="19"/>
        <v>129404.55533287935</v>
      </c>
      <c r="W61" s="2">
        <f t="shared" si="19"/>
        <v>132119.92791757159</v>
      </c>
      <c r="X61" s="2">
        <f t="shared" si="19"/>
        <v>134573.94985125237</v>
      </c>
      <c r="Y61" s="2">
        <f t="shared" si="19"/>
        <v>136791.77575291178</v>
      </c>
    </row>
  </sheetData>
  <sheetProtection selectLockedCells="1"/>
  <mergeCells count="35">
    <mergeCell ref="A56:D56"/>
    <mergeCell ref="A57:D57"/>
    <mergeCell ref="A60:D60"/>
    <mergeCell ref="A61:D61"/>
    <mergeCell ref="A18:D18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  <mergeCell ref="A34:D34"/>
    <mergeCell ref="A20:D20"/>
    <mergeCell ref="A21:D21"/>
    <mergeCell ref="A22:D22"/>
    <mergeCell ref="A24:D24"/>
    <mergeCell ref="A25:D25"/>
    <mergeCell ref="A26:D26"/>
    <mergeCell ref="A19:D19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6:D16"/>
    <mergeCell ref="A17:D17"/>
  </mergeCells>
  <dataValidations count="2">
    <dataValidation allowBlank="1" showInputMessage="1" showErrorMessage="1" promptTitle="CashFlow" prompt="Ne obuhvata amortizaciju, ali obuhvata otplatu glavnice." sqref="A37" xr:uid="{FACEED47-10D3-407D-A0FA-5F54C1032A3E}"/>
    <dataValidation allowBlank="1" showInputMessage="1" showErrorMessage="1" promptTitle="BrutoDobit" prompt="Bruto dobit prema Bilansu uspeha, ne obuhvata otplatu glavice." sqref="A32:D32" xr:uid="{3C62F452-AF04-4F8A-B980-4DBDD153F14B}"/>
  </dataValidations>
  <hyperlinks>
    <hyperlink ref="I7:J7" location="Anuiteti!I4" display="NAZAD" xr:uid="{D031DB37-2B0F-436A-AA9F-52A38806031D}"/>
    <hyperlink ref="N7:O7" location="EconIndicators!A1" display="DALJE" xr:uid="{F87D1B7D-E3E4-4495-9909-0B63C4D840C2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I12"/>
  <sheetViews>
    <sheetView workbookViewId="0">
      <selection activeCell="K2" sqref="K2"/>
    </sheetView>
  </sheetViews>
  <sheetFormatPr defaultRowHeight="15" x14ac:dyDescent="0.25"/>
  <sheetData>
    <row r="3" spans="1:9" ht="16.5" x14ac:dyDescent="0.35">
      <c r="F3" s="54" t="s">
        <v>147</v>
      </c>
      <c r="G3" s="54"/>
      <c r="H3" s="54"/>
      <c r="I3" s="54"/>
    </row>
    <row r="7" spans="1:9" ht="15" customHeight="1" x14ac:dyDescent="0.25">
      <c r="A7" s="56" t="s">
        <v>112</v>
      </c>
      <c r="B7" s="56"/>
      <c r="C7" s="56"/>
      <c r="D7" s="56"/>
    </row>
    <row r="8" spans="1:9" ht="15" customHeight="1" x14ac:dyDescent="0.25">
      <c r="A8" s="56"/>
      <c r="B8" s="56"/>
      <c r="C8" s="56"/>
      <c r="D8" s="56"/>
    </row>
    <row r="9" spans="1:9" x14ac:dyDescent="0.25">
      <c r="A9" s="56"/>
      <c r="B9" s="56"/>
      <c r="C9" s="56"/>
      <c r="D9" s="56"/>
    </row>
    <row r="11" spans="1:9" x14ac:dyDescent="0.25">
      <c r="A11" s="58" t="s">
        <v>127</v>
      </c>
      <c r="B11" s="58"/>
      <c r="C11" s="59" t="s">
        <v>128</v>
      </c>
      <c r="D11" s="59"/>
    </row>
    <row r="12" spans="1:9" x14ac:dyDescent="0.25">
      <c r="A12" s="58"/>
      <c r="B12" s="58"/>
      <c r="C12" s="59"/>
      <c r="D12" s="5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I12"/>
  <sheetViews>
    <sheetView workbookViewId="0">
      <selection activeCell="C19" sqref="C19"/>
    </sheetView>
  </sheetViews>
  <sheetFormatPr defaultRowHeight="15" x14ac:dyDescent="0.25"/>
  <sheetData>
    <row r="3" spans="1:9" ht="16.5" x14ac:dyDescent="0.35">
      <c r="F3" s="54" t="s">
        <v>147</v>
      </c>
      <c r="G3" s="54"/>
      <c r="H3" s="54"/>
      <c r="I3" s="54"/>
    </row>
    <row r="7" spans="1:9" ht="15" customHeight="1" x14ac:dyDescent="0.25">
      <c r="A7" s="56" t="s">
        <v>113</v>
      </c>
      <c r="B7" s="56"/>
      <c r="C7" s="56"/>
      <c r="D7" s="56"/>
    </row>
    <row r="8" spans="1:9" ht="15" customHeight="1" x14ac:dyDescent="0.25">
      <c r="A8" s="56"/>
      <c r="B8" s="56"/>
      <c r="C8" s="56"/>
      <c r="D8" s="56"/>
    </row>
    <row r="9" spans="1:9" x14ac:dyDescent="0.25">
      <c r="A9" s="56"/>
      <c r="B9" s="56"/>
      <c r="C9" s="56"/>
      <c r="D9" s="56"/>
    </row>
    <row r="11" spans="1:9" x14ac:dyDescent="0.25">
      <c r="A11" s="58" t="s">
        <v>127</v>
      </c>
      <c r="B11" s="58"/>
      <c r="C11" s="59" t="s">
        <v>128</v>
      </c>
      <c r="D11" s="59"/>
    </row>
    <row r="12" spans="1:9" x14ac:dyDescent="0.25">
      <c r="A12" s="58"/>
      <c r="B12" s="58"/>
      <c r="C12" s="59"/>
      <c r="D12" s="5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</vt:i4>
      </vt:variant>
    </vt:vector>
  </HeadingPairs>
  <TitlesOfParts>
    <vt:vector size="20" baseType="lpstr">
      <vt:lpstr>Pocetna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CARBON</vt:lpstr>
      <vt:lpstr>Equity</vt:lpstr>
      <vt:lpstr>Investment</vt:lpstr>
      <vt:lpstr>LCoEE</vt:lpstr>
      <vt:lpstr>LOAN</vt:lpstr>
      <vt:lpstr>PROJEKAT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2023-07-11T08:44:23Z</dcterms:modified>
</cp:coreProperties>
</file>