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1.xml" ContentType="application/vnd.ms-excel.controlproperti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3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4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hidePivotFieldList="1"/>
  <bookViews>
    <workbookView xWindow="-120" yWindow="-120" windowWidth="29040" windowHeight="15840" firstSheet="3" activeTab="7"/>
    <workbookView xWindow="-120" yWindow="-120" windowWidth="29040" windowHeight="15840" firstSheet="3" activeTab="14"/>
  </bookViews>
  <sheets>
    <sheet name="Pocetna" sheetId="1" r:id="rId1"/>
    <sheet name="KonvFaktor" sheetId="20" r:id="rId2"/>
    <sheet name="PomTab1" sheetId="4" r:id="rId3"/>
    <sheet name="UnosPodataka" sheetId="2" r:id="rId4"/>
    <sheet name="TrosakEnergije" sheetId="5" r:id="rId5"/>
    <sheet name="Anuiteti" sheetId="6" r:id="rId6"/>
    <sheet name="FinaIndikatori" sheetId="7" r:id="rId7"/>
    <sheet name="FinInd+CO2" sheetId="17" r:id="rId8"/>
    <sheet name="Graf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19" state="hidden" r:id="rId16"/>
  </sheets>
  <externalReferences>
    <externalReference r:id="rId17"/>
  </externalReferences>
  <definedNames>
    <definedName name="AREA">TrosakEnergije!$J$12</definedName>
    <definedName name="CARBON">TrosakEnergije!$J$22</definedName>
    <definedName name="CERT">TrosakEnergije!$L$21</definedName>
    <definedName name="CO2Tax">UnosPodataka!$M$13</definedName>
    <definedName name="EENERGIJA">TrosakEnergije!$J$18</definedName>
    <definedName name="EPOW">TrosakEnergije!$J$16</definedName>
    <definedName name="EPrice">TrosakEnergije!$J$10</definedName>
    <definedName name="Equity">UnosPodataka!$F$27</definedName>
    <definedName name="eta">TrosakEnergije!$J$13</definedName>
    <definedName name="etagrid">TrosakEnergije!$J$14</definedName>
    <definedName name="FIRR" localSheetId="7">'FinInd+CO2'!#REF!</definedName>
    <definedName name="FIRR">FinaIndikatori!#REF!</definedName>
    <definedName name="FNPV" localSheetId="7">'FinInd+CO2'!#REF!</definedName>
    <definedName name="FNPV">FinaIndikatori!#REF!</definedName>
    <definedName name="HEAT">TrosakEnergije!$J$9</definedName>
    <definedName name="HPrice">TrosakEnergije!$J$11</definedName>
    <definedName name="InfRate" comment="Inflacija">0</definedName>
    <definedName name="Investment">UnosPodataka!$F$20</definedName>
    <definedName name="Kurs_EUR" comment="Obračunski kurs EUR na dan 11-04-2023">117.288</definedName>
    <definedName name="LCoEE">LCoEE!$E$19</definedName>
    <definedName name="Loan">UnosPodataka!$F$30</definedName>
    <definedName name="PDV" comment="Porez na dodatu vrednost (opšti)">0.2</definedName>
    <definedName name="PROJEKAT">Pocetna!$M$12</definedName>
    <definedName name="VAT" comment="Porez na poslovanje kompanije">0.15</definedName>
    <definedName name="WHOUR">TrosakEnergije!$J$17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20" l="1"/>
  <c r="D16" i="20"/>
  <c r="D15" i="20"/>
  <c r="D14" i="20"/>
  <c r="D13" i="20"/>
  <c r="D12" i="20"/>
  <c r="C18" i="20" l="1"/>
  <c r="E17" i="20"/>
  <c r="E16" i="20"/>
  <c r="E15" i="20"/>
  <c r="E14" i="20"/>
  <c r="E13" i="20"/>
  <c r="E12" i="20"/>
  <c r="E18" i="20" l="1"/>
  <c r="E21" i="20" s="1"/>
  <c r="H25" i="17"/>
  <c r="I25" i="17"/>
  <c r="J25" i="17"/>
  <c r="K25" i="17"/>
  <c r="L25" i="17"/>
  <c r="M25" i="17"/>
  <c r="N25" i="17"/>
  <c r="O25" i="17"/>
  <c r="P25" i="17"/>
  <c r="Q25" i="17"/>
  <c r="R25" i="17"/>
  <c r="S25" i="17"/>
  <c r="T25" i="17"/>
  <c r="U25" i="17"/>
  <c r="V25" i="17"/>
  <c r="W25" i="17"/>
  <c r="X25" i="17"/>
  <c r="Y25" i="17"/>
  <c r="G25" i="17"/>
  <c r="F25" i="1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G23" i="7"/>
  <c r="F23" i="7"/>
  <c r="F20" i="2"/>
  <c r="Q39" i="4" l="1"/>
  <c r="Y16" i="17"/>
  <c r="X16" i="17"/>
  <c r="T16" i="17"/>
  <c r="P16" i="17"/>
  <c r="L16" i="17"/>
  <c r="H16" i="17"/>
  <c r="G16" i="17"/>
  <c r="Q16" i="17"/>
  <c r="W16" i="17"/>
  <c r="S16" i="17"/>
  <c r="O16" i="17"/>
  <c r="K16" i="17"/>
  <c r="M16" i="17"/>
  <c r="V16" i="17"/>
  <c r="R16" i="17"/>
  <c r="N16" i="17"/>
  <c r="J16" i="17"/>
  <c r="F16" i="17"/>
  <c r="U16" i="17"/>
  <c r="I16" i="17"/>
  <c r="F36" i="17"/>
  <c r="F26" i="17"/>
  <c r="Y15" i="17"/>
  <c r="X15" i="17"/>
  <c r="W15" i="17"/>
  <c r="V15" i="17"/>
  <c r="U15" i="17"/>
  <c r="T15" i="17"/>
  <c r="S15" i="17"/>
  <c r="R15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3" i="17"/>
  <c r="E12" i="17"/>
  <c r="G9" i="17"/>
  <c r="F34" i="7"/>
  <c r="E13" i="7"/>
  <c r="L24" i="4"/>
  <c r="L23" i="4"/>
  <c r="G26" i="17" l="1"/>
  <c r="G36" i="17"/>
  <c r="H9" i="17"/>
  <c r="H26" i="17" l="1"/>
  <c r="I9" i="17"/>
  <c r="H36" i="17"/>
  <c r="I36" i="17" l="1"/>
  <c r="I26" i="17"/>
  <c r="J9" i="17"/>
  <c r="J36" i="17" l="1"/>
  <c r="J26" i="17"/>
  <c r="K9" i="17"/>
  <c r="K36" i="17" l="1"/>
  <c r="L9" i="17"/>
  <c r="K26" i="17"/>
  <c r="K24" i="17"/>
  <c r="L26" i="17" l="1"/>
  <c r="L36" i="17"/>
  <c r="M9" i="17"/>
  <c r="L24" i="17"/>
  <c r="M24" i="17" l="1"/>
  <c r="M36" i="17"/>
  <c r="N9" i="17"/>
  <c r="M26" i="17"/>
  <c r="N36" i="17" l="1"/>
  <c r="N24" i="17"/>
  <c r="N26" i="17"/>
  <c r="O9" i="17"/>
  <c r="O36" i="17" l="1"/>
  <c r="P9" i="17"/>
  <c r="O24" i="17"/>
  <c r="O26" i="17"/>
  <c r="P26" i="17" l="1"/>
  <c r="Q9" i="17"/>
  <c r="P36" i="17"/>
  <c r="P24" i="17"/>
  <c r="Q36" i="17" l="1"/>
  <c r="Q24" i="17"/>
  <c r="Q26" i="17"/>
  <c r="R9" i="17"/>
  <c r="R36" i="17" l="1"/>
  <c r="S9" i="17"/>
  <c r="R24" i="17"/>
  <c r="R26" i="17"/>
  <c r="S36" i="17" l="1"/>
  <c r="T9" i="17"/>
  <c r="S24" i="17"/>
  <c r="S26" i="17"/>
  <c r="T26" i="17" l="1"/>
  <c r="T24" i="17"/>
  <c r="T36" i="17"/>
  <c r="U9" i="17"/>
  <c r="U24" i="17" l="1"/>
  <c r="U36" i="17"/>
  <c r="U26" i="17"/>
  <c r="V9" i="17"/>
  <c r="V36" i="17" l="1"/>
  <c r="V26" i="17"/>
  <c r="W9" i="17"/>
  <c r="V24" i="17"/>
  <c r="W36" i="17" l="1"/>
  <c r="X9" i="17"/>
  <c r="W24" i="17"/>
  <c r="W26" i="17"/>
  <c r="X26" i="17" l="1"/>
  <c r="X36" i="17"/>
  <c r="Y9" i="17"/>
  <c r="X24" i="17"/>
  <c r="Y36" i="17" l="1"/>
  <c r="Y24" i="17"/>
  <c r="Y26" i="17"/>
  <c r="K24" i="4" l="1"/>
  <c r="K22" i="4"/>
  <c r="E12" i="16"/>
  <c r="E9" i="16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G28" i="17" l="1"/>
  <c r="H28" i="17"/>
  <c r="I28" i="17"/>
  <c r="J28" i="17"/>
  <c r="K28" i="17"/>
  <c r="L28" i="17"/>
  <c r="M28" i="17"/>
  <c r="N28" i="17"/>
  <c r="O28" i="17"/>
  <c r="P28" i="17"/>
  <c r="Q28" i="17"/>
  <c r="R28" i="17"/>
  <c r="S28" i="17"/>
  <c r="T28" i="17"/>
  <c r="U28" i="17"/>
  <c r="V28" i="17"/>
  <c r="W28" i="17"/>
  <c r="X28" i="17"/>
  <c r="Y28" i="17"/>
  <c r="J22" i="5"/>
  <c r="M24" i="2" l="1"/>
  <c r="J9" i="5" l="1"/>
  <c r="J18" i="5"/>
  <c r="F26" i="7" l="1"/>
  <c r="F28" i="17"/>
  <c r="F14" i="17"/>
  <c r="G14" i="17"/>
  <c r="H14" i="17"/>
  <c r="I14" i="17"/>
  <c r="J14" i="17"/>
  <c r="K14" i="17"/>
  <c r="L14" i="17"/>
  <c r="M14" i="17"/>
  <c r="N14" i="17"/>
  <c r="O14" i="17"/>
  <c r="P14" i="17"/>
  <c r="Q14" i="17"/>
  <c r="R14" i="17"/>
  <c r="S14" i="17"/>
  <c r="T14" i="17"/>
  <c r="U14" i="17"/>
  <c r="V14" i="17"/>
  <c r="W14" i="17"/>
  <c r="X14" i="17"/>
  <c r="Y14" i="17"/>
  <c r="F10" i="12"/>
  <c r="G9" i="7"/>
  <c r="W19" i="17" l="1"/>
  <c r="W30" i="17" s="1"/>
  <c r="W20" i="17"/>
  <c r="V19" i="17"/>
  <c r="V30" i="17" s="1"/>
  <c r="V20" i="17"/>
  <c r="R19" i="17"/>
  <c r="R20" i="17"/>
  <c r="N19" i="17"/>
  <c r="N30" i="17" s="1"/>
  <c r="N20" i="17"/>
  <c r="J19" i="17"/>
  <c r="J30" i="17" s="1"/>
  <c r="J20" i="17"/>
  <c r="O19" i="17"/>
  <c r="O30" i="17" s="1"/>
  <c r="O20" i="17"/>
  <c r="K19" i="17"/>
  <c r="K30" i="17" s="1"/>
  <c r="K20" i="17"/>
  <c r="G19" i="17"/>
  <c r="G30" i="17" s="1"/>
  <c r="G20" i="17"/>
  <c r="Y19" i="17"/>
  <c r="Y30" i="17" s="1"/>
  <c r="Y20" i="17"/>
  <c r="U19" i="17"/>
  <c r="U30" i="17" s="1"/>
  <c r="U20" i="17"/>
  <c r="Q19" i="17"/>
  <c r="Q30" i="17" s="1"/>
  <c r="Q20" i="17"/>
  <c r="M19" i="17"/>
  <c r="M30" i="17" s="1"/>
  <c r="M20" i="17"/>
  <c r="I19" i="17"/>
  <c r="I30" i="17" s="1"/>
  <c r="I20" i="17"/>
  <c r="S19" i="17"/>
  <c r="S30" i="17" s="1"/>
  <c r="S20" i="17"/>
  <c r="X19" i="17"/>
  <c r="X30" i="17" s="1"/>
  <c r="X20" i="17"/>
  <c r="T19" i="17"/>
  <c r="T30" i="17" s="1"/>
  <c r="T20" i="17"/>
  <c r="P19" i="17"/>
  <c r="P30" i="17" s="1"/>
  <c r="P20" i="17"/>
  <c r="L19" i="17"/>
  <c r="L30" i="17" s="1"/>
  <c r="L20" i="17"/>
  <c r="H19" i="17"/>
  <c r="H30" i="17" s="1"/>
  <c r="H20" i="17"/>
  <c r="F19" i="17"/>
  <c r="F30" i="17" s="1"/>
  <c r="F20" i="17"/>
  <c r="R30" i="17"/>
  <c r="G34" i="7"/>
  <c r="H9" i="7"/>
  <c r="G10" i="12"/>
  <c r="G15" i="7"/>
  <c r="H15" i="7"/>
  <c r="I15" i="7"/>
  <c r="J15" i="7"/>
  <c r="K15" i="7"/>
  <c r="L15" i="7"/>
  <c r="M15" i="7"/>
  <c r="N15" i="7"/>
  <c r="O15" i="7"/>
  <c r="P15" i="7"/>
  <c r="Q15" i="7"/>
  <c r="R15" i="7"/>
  <c r="S15" i="7"/>
  <c r="T15" i="7"/>
  <c r="U15" i="7"/>
  <c r="V15" i="7"/>
  <c r="W15" i="7"/>
  <c r="X15" i="7"/>
  <c r="Y15" i="7"/>
  <c r="F15" i="7"/>
  <c r="F17" i="12" l="1"/>
  <c r="F21" i="17"/>
  <c r="F56" i="17" s="1"/>
  <c r="H21" i="17"/>
  <c r="H56" i="17" s="1"/>
  <c r="P21" i="17"/>
  <c r="P56" i="17" s="1"/>
  <c r="X21" i="17"/>
  <c r="X56" i="17" s="1"/>
  <c r="I21" i="17"/>
  <c r="I56" i="17" s="1"/>
  <c r="Q21" i="17"/>
  <c r="Q56" i="17" s="1"/>
  <c r="Y21" i="17"/>
  <c r="K21" i="17"/>
  <c r="K56" i="17" s="1"/>
  <c r="J21" i="17"/>
  <c r="J56" i="17" s="1"/>
  <c r="R21" i="17"/>
  <c r="R56" i="17" s="1"/>
  <c r="G17" i="12"/>
  <c r="L21" i="17"/>
  <c r="L56" i="17" s="1"/>
  <c r="T21" i="17"/>
  <c r="T56" i="17" s="1"/>
  <c r="S21" i="17"/>
  <c r="S56" i="17" s="1"/>
  <c r="M21" i="17"/>
  <c r="M56" i="17" s="1"/>
  <c r="U21" i="17"/>
  <c r="U56" i="17" s="1"/>
  <c r="G21" i="17"/>
  <c r="G56" i="17" s="1"/>
  <c r="O21" i="17"/>
  <c r="O56" i="17" s="1"/>
  <c r="N21" i="17"/>
  <c r="N56" i="17" s="1"/>
  <c r="V21" i="17"/>
  <c r="V56" i="17" s="1"/>
  <c r="W21" i="17"/>
  <c r="W56" i="17" s="1"/>
  <c r="H34" i="7"/>
  <c r="H10" i="12"/>
  <c r="I9" i="7"/>
  <c r="F14" i="7"/>
  <c r="Y56" i="17" l="1"/>
  <c r="H17" i="12"/>
  <c r="I34" i="7"/>
  <c r="F16" i="12"/>
  <c r="F18" i="7"/>
  <c r="J9" i="7"/>
  <c r="I10" i="12"/>
  <c r="I17" i="12" l="1"/>
  <c r="J34" i="7"/>
  <c r="J10" i="12"/>
  <c r="K9" i="7"/>
  <c r="J17" i="12" l="1"/>
  <c r="K34" i="7"/>
  <c r="K22" i="7"/>
  <c r="L9" i="7"/>
  <c r="K10" i="12"/>
  <c r="K17" i="12" l="1"/>
  <c r="L34" i="7"/>
  <c r="L10" i="12"/>
  <c r="M9" i="7"/>
  <c r="L17" i="12" l="1"/>
  <c r="M34" i="7"/>
  <c r="N9" i="7"/>
  <c r="M10" i="12"/>
  <c r="M17" i="12" l="1"/>
  <c r="N34" i="7"/>
  <c r="N10" i="12"/>
  <c r="O9" i="7"/>
  <c r="N17" i="12" l="1"/>
  <c r="O34" i="7"/>
  <c r="P9" i="7"/>
  <c r="O10" i="12"/>
  <c r="O17" i="12" l="1"/>
  <c r="P34" i="7"/>
  <c r="P10" i="12"/>
  <c r="Q9" i="7"/>
  <c r="P17" i="12" l="1"/>
  <c r="Q34" i="7"/>
  <c r="R9" i="7"/>
  <c r="Q10" i="12"/>
  <c r="Q17" i="12" l="1"/>
  <c r="R34" i="7"/>
  <c r="R10" i="12"/>
  <c r="R22" i="7"/>
  <c r="S9" i="7"/>
  <c r="R17" i="12" l="1"/>
  <c r="S34" i="7"/>
  <c r="S22" i="7"/>
  <c r="T9" i="7"/>
  <c r="S10" i="12"/>
  <c r="S17" i="12" l="1"/>
  <c r="T34" i="7"/>
  <c r="T22" i="7"/>
  <c r="U9" i="7"/>
  <c r="T10" i="12"/>
  <c r="T17" i="12" l="1"/>
  <c r="U34" i="7"/>
  <c r="U22" i="7"/>
  <c r="V9" i="7"/>
  <c r="U10" i="12"/>
  <c r="U17" i="12" l="1"/>
  <c r="V34" i="7"/>
  <c r="V22" i="7"/>
  <c r="W9" i="7"/>
  <c r="V10" i="12"/>
  <c r="V17" i="12" l="1"/>
  <c r="W34" i="7"/>
  <c r="W22" i="7"/>
  <c r="X9" i="7"/>
  <c r="W10" i="12"/>
  <c r="W17" i="12" l="1"/>
  <c r="X34" i="7"/>
  <c r="X22" i="7"/>
  <c r="Y9" i="7"/>
  <c r="X10" i="12"/>
  <c r="X17" i="12" l="1"/>
  <c r="Y34" i="7"/>
  <c r="Y22" i="7"/>
  <c r="Y10" i="12"/>
  <c r="Y17" i="12" l="1"/>
  <c r="F24" i="7"/>
  <c r="B14" i="6"/>
  <c r="B15" i="6" l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G26" i="7"/>
  <c r="G14" i="7"/>
  <c r="G24" i="7"/>
  <c r="G16" i="12" l="1"/>
  <c r="G18" i="7"/>
  <c r="H26" i="7"/>
  <c r="H14" i="7"/>
  <c r="H24" i="7"/>
  <c r="H16" i="12" l="1"/>
  <c r="H18" i="7"/>
  <c r="I26" i="7"/>
  <c r="I14" i="7"/>
  <c r="I16" i="12" s="1"/>
  <c r="I24" i="7"/>
  <c r="I18" i="7" l="1"/>
  <c r="J26" i="7"/>
  <c r="J14" i="7"/>
  <c r="J16" i="12" s="1"/>
  <c r="J24" i="7"/>
  <c r="J18" i="7" l="1"/>
  <c r="K26" i="7"/>
  <c r="K14" i="7"/>
  <c r="K16" i="12" s="1"/>
  <c r="K24" i="7"/>
  <c r="L26" i="7" l="1"/>
  <c r="L14" i="7"/>
  <c r="L16" i="12" s="1"/>
  <c r="K18" i="7"/>
  <c r="L24" i="7"/>
  <c r="M26" i="7" l="1"/>
  <c r="M14" i="7"/>
  <c r="M16" i="12" s="1"/>
  <c r="L18" i="7"/>
  <c r="M24" i="7"/>
  <c r="M18" i="7" l="1"/>
  <c r="N26" i="7"/>
  <c r="N14" i="7"/>
  <c r="N16" i="12" s="1"/>
  <c r="N24" i="7"/>
  <c r="N18" i="7" l="1"/>
  <c r="O26" i="7"/>
  <c r="O14" i="7"/>
  <c r="O16" i="12" s="1"/>
  <c r="O24" i="7"/>
  <c r="O18" i="7" l="1"/>
  <c r="P26" i="7"/>
  <c r="P14" i="7"/>
  <c r="P16" i="12" s="1"/>
  <c r="P24" i="7"/>
  <c r="P18" i="7" l="1"/>
  <c r="Q26" i="7"/>
  <c r="Q14" i="7"/>
  <c r="Q16" i="12" s="1"/>
  <c r="Q24" i="7"/>
  <c r="F29" i="17" l="1"/>
  <c r="F27" i="17"/>
  <c r="F27" i="7"/>
  <c r="G29" i="17"/>
  <c r="G27" i="17"/>
  <c r="H27" i="17"/>
  <c r="H29" i="17"/>
  <c r="I27" i="17"/>
  <c r="I29" i="17"/>
  <c r="J29" i="17"/>
  <c r="J27" i="17"/>
  <c r="K27" i="17"/>
  <c r="K29" i="17"/>
  <c r="L29" i="17"/>
  <c r="L27" i="17"/>
  <c r="M27" i="17"/>
  <c r="M29" i="17"/>
  <c r="N29" i="17"/>
  <c r="N27" i="17"/>
  <c r="O27" i="17"/>
  <c r="O29" i="17"/>
  <c r="P29" i="17"/>
  <c r="P27" i="17"/>
  <c r="Q27" i="17"/>
  <c r="Q29" i="17"/>
  <c r="R29" i="17"/>
  <c r="R27" i="17"/>
  <c r="S29" i="17"/>
  <c r="S27" i="17"/>
  <c r="T29" i="17"/>
  <c r="T27" i="17"/>
  <c r="U29" i="17"/>
  <c r="U27" i="17"/>
  <c r="V27" i="17"/>
  <c r="V29" i="17"/>
  <c r="W29" i="17"/>
  <c r="W27" i="17"/>
  <c r="X29" i="17"/>
  <c r="X27" i="17"/>
  <c r="Y29" i="17"/>
  <c r="Y27" i="1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X27" i="7"/>
  <c r="Y27" i="7"/>
  <c r="E10" i="16"/>
  <c r="F12" i="12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25" i="7"/>
  <c r="W25" i="7"/>
  <c r="X25" i="7"/>
  <c r="Y25" i="7"/>
  <c r="Q18" i="7"/>
  <c r="R26" i="7"/>
  <c r="R14" i="7"/>
  <c r="R16" i="12" s="1"/>
  <c r="P28" i="7"/>
  <c r="P12" i="14" s="1"/>
  <c r="P13" i="14" s="1"/>
  <c r="F21" i="2"/>
  <c r="R24" i="7"/>
  <c r="O28" i="7"/>
  <c r="O12" i="14" s="1"/>
  <c r="O13" i="14" s="1"/>
  <c r="O19" i="7"/>
  <c r="J28" i="7"/>
  <c r="J12" i="14" s="1"/>
  <c r="J13" i="14" s="1"/>
  <c r="J19" i="7"/>
  <c r="K28" i="7"/>
  <c r="K12" i="14" s="1"/>
  <c r="K13" i="14" s="1"/>
  <c r="K19" i="7"/>
  <c r="G28" i="7"/>
  <c r="G12" i="14" s="1"/>
  <c r="G13" i="14" s="1"/>
  <c r="G19" i="7"/>
  <c r="F28" i="7"/>
  <c r="F12" i="14" s="1"/>
  <c r="F19" i="7"/>
  <c r="F54" i="7" s="1"/>
  <c r="M28" i="7"/>
  <c r="M12" i="14" s="1"/>
  <c r="M13" i="14" s="1"/>
  <c r="M19" i="7"/>
  <c r="L28" i="7"/>
  <c r="L12" i="14" s="1"/>
  <c r="L13" i="14" s="1"/>
  <c r="L19" i="7"/>
  <c r="N28" i="7"/>
  <c r="N12" i="14" s="1"/>
  <c r="N13" i="14" s="1"/>
  <c r="N19" i="7"/>
  <c r="I28" i="7"/>
  <c r="I12" i="14" s="1"/>
  <c r="I13" i="14" s="1"/>
  <c r="I19" i="7"/>
  <c r="H28" i="7"/>
  <c r="H12" i="14" s="1"/>
  <c r="H13" i="14" s="1"/>
  <c r="H19" i="7"/>
  <c r="F28" i="2"/>
  <c r="C25" i="4"/>
  <c r="X31" i="17" l="1"/>
  <c r="T31" i="17"/>
  <c r="T34" i="17" s="1"/>
  <c r="T37" i="17" s="1"/>
  <c r="T39" i="17" s="1"/>
  <c r="R31" i="17"/>
  <c r="R33" i="17" s="1"/>
  <c r="R53" i="17" s="1"/>
  <c r="P31" i="17"/>
  <c r="P34" i="17" s="1"/>
  <c r="P37" i="17" s="1"/>
  <c r="P39" i="17" s="1"/>
  <c r="Q31" i="17"/>
  <c r="O31" i="17"/>
  <c r="O33" i="17" s="1"/>
  <c r="O53" i="17" s="1"/>
  <c r="M31" i="17"/>
  <c r="M33" i="17" s="1"/>
  <c r="M53" i="17" s="1"/>
  <c r="K31" i="17"/>
  <c r="K33" i="17" s="1"/>
  <c r="K53" i="17" s="1"/>
  <c r="N31" i="17"/>
  <c r="N34" i="17" s="1"/>
  <c r="N37" i="17" s="1"/>
  <c r="N39" i="17" s="1"/>
  <c r="L31" i="17"/>
  <c r="L34" i="17" s="1"/>
  <c r="L37" i="17" s="1"/>
  <c r="L39" i="17" s="1"/>
  <c r="X33" i="17"/>
  <c r="X53" i="17" s="1"/>
  <c r="X34" i="17"/>
  <c r="X37" i="17" s="1"/>
  <c r="X39" i="17" s="1"/>
  <c r="N33" i="17"/>
  <c r="N53" i="17" s="1"/>
  <c r="Q33" i="17"/>
  <c r="Q53" i="17" s="1"/>
  <c r="Q34" i="17"/>
  <c r="Q37" i="17" s="1"/>
  <c r="Q39" i="17" s="1"/>
  <c r="M34" i="17"/>
  <c r="M37" i="17" s="1"/>
  <c r="M39" i="17" s="1"/>
  <c r="V31" i="17"/>
  <c r="Y31" i="17"/>
  <c r="W31" i="17"/>
  <c r="U31" i="17"/>
  <c r="S31" i="17"/>
  <c r="N54" i="7"/>
  <c r="G54" i="7"/>
  <c r="H54" i="7"/>
  <c r="M54" i="7"/>
  <c r="J54" i="7"/>
  <c r="I54" i="7"/>
  <c r="L54" i="7"/>
  <c r="K54" i="7"/>
  <c r="O54" i="7"/>
  <c r="F13" i="14"/>
  <c r="R18" i="7"/>
  <c r="S26" i="7"/>
  <c r="S14" i="7"/>
  <c r="S16" i="12" s="1"/>
  <c r="P19" i="7"/>
  <c r="S24" i="7"/>
  <c r="F30" i="2"/>
  <c r="R34" i="17" l="1"/>
  <c r="R37" i="17" s="1"/>
  <c r="R39" i="17" s="1"/>
  <c r="P33" i="17"/>
  <c r="P53" i="17" s="1"/>
  <c r="L33" i="17"/>
  <c r="L53" i="17" s="1"/>
  <c r="T33" i="17"/>
  <c r="T53" i="17" s="1"/>
  <c r="O34" i="17"/>
  <c r="O37" i="17" s="1"/>
  <c r="O39" i="17" s="1"/>
  <c r="K34" i="17"/>
  <c r="K37" i="17" s="1"/>
  <c r="K39" i="17" s="1"/>
  <c r="U33" i="17"/>
  <c r="U53" i="17" s="1"/>
  <c r="U34" i="17"/>
  <c r="U37" i="17" s="1"/>
  <c r="U39" i="17" s="1"/>
  <c r="W33" i="17"/>
  <c r="W53" i="17" s="1"/>
  <c r="W34" i="17"/>
  <c r="W37" i="17" s="1"/>
  <c r="W39" i="17" s="1"/>
  <c r="Y33" i="17"/>
  <c r="Y53" i="17" s="1"/>
  <c r="Y34" i="17"/>
  <c r="Y37" i="17" s="1"/>
  <c r="Y39" i="17" s="1"/>
  <c r="K23" i="4"/>
  <c r="K25" i="4" s="1"/>
  <c r="L25" i="4" s="1"/>
  <c r="E11" i="17"/>
  <c r="S33" i="17"/>
  <c r="S53" i="17" s="1"/>
  <c r="S34" i="17"/>
  <c r="S37" i="17" s="1"/>
  <c r="S39" i="17" s="1"/>
  <c r="V33" i="17"/>
  <c r="V53" i="17" s="1"/>
  <c r="V34" i="17"/>
  <c r="V37" i="17" s="1"/>
  <c r="V39" i="17" s="1"/>
  <c r="P54" i="7"/>
  <c r="E13" i="16"/>
  <c r="E11" i="16"/>
  <c r="S18" i="7"/>
  <c r="T26" i="7"/>
  <c r="T14" i="7"/>
  <c r="T16" i="12" s="1"/>
  <c r="R19" i="7"/>
  <c r="Q28" i="7"/>
  <c r="Q12" i="14" s="1"/>
  <c r="Q19" i="7"/>
  <c r="R28" i="7"/>
  <c r="R12" i="14" s="1"/>
  <c r="R13" i="14" s="1"/>
  <c r="E9" i="6"/>
  <c r="E30" i="6" s="1"/>
  <c r="E12" i="7"/>
  <c r="E11" i="7"/>
  <c r="T24" i="7"/>
  <c r="E39" i="17" l="1"/>
  <c r="E40" i="17" s="1"/>
  <c r="E62" i="17"/>
  <c r="E33" i="17"/>
  <c r="E53" i="17" s="1"/>
  <c r="E42" i="17"/>
  <c r="E40" i="7"/>
  <c r="P55" i="7" s="1"/>
  <c r="E37" i="7"/>
  <c r="Q54" i="7"/>
  <c r="E31" i="7"/>
  <c r="E51" i="7" s="1"/>
  <c r="R54" i="7"/>
  <c r="R55" i="7" s="1"/>
  <c r="Q13" i="14"/>
  <c r="T18" i="7"/>
  <c r="U26" i="7"/>
  <c r="U14" i="7"/>
  <c r="U16" i="12" s="1"/>
  <c r="E25" i="6"/>
  <c r="E28" i="6"/>
  <c r="E27" i="6"/>
  <c r="E32" i="6"/>
  <c r="E31" i="6"/>
  <c r="E26" i="6"/>
  <c r="E29" i="6"/>
  <c r="U24" i="7"/>
  <c r="E52" i="7" l="1"/>
  <c r="E53" i="7" s="1"/>
  <c r="E38" i="7"/>
  <c r="F55" i="7"/>
  <c r="F56" i="7" s="1"/>
  <c r="L55" i="7"/>
  <c r="G55" i="7"/>
  <c r="M55" i="7"/>
  <c r="H55" i="7"/>
  <c r="K55" i="7"/>
  <c r="O55" i="7"/>
  <c r="J55" i="7"/>
  <c r="I55" i="7"/>
  <c r="N55" i="7"/>
  <c r="Q55" i="7"/>
  <c r="E54" i="17"/>
  <c r="E55" i="17" s="1"/>
  <c r="E43" i="17"/>
  <c r="E44" i="17" s="1"/>
  <c r="W54" i="17"/>
  <c r="V54" i="17"/>
  <c r="N54" i="17"/>
  <c r="S54" i="17"/>
  <c r="K54" i="17"/>
  <c r="Q54" i="17"/>
  <c r="R54" i="17"/>
  <c r="L54" i="17"/>
  <c r="M54" i="17"/>
  <c r="P54" i="17"/>
  <c r="T54" i="17"/>
  <c r="Y54" i="17"/>
  <c r="O54" i="17"/>
  <c r="U54" i="17"/>
  <c r="X54" i="17"/>
  <c r="U57" i="17"/>
  <c r="K57" i="17"/>
  <c r="V43" i="17"/>
  <c r="P43" i="17"/>
  <c r="O57" i="17"/>
  <c r="R57" i="17"/>
  <c r="M43" i="17"/>
  <c r="K43" i="17"/>
  <c r="J57" i="17"/>
  <c r="S43" i="17"/>
  <c r="Y43" i="17"/>
  <c r="U43" i="17"/>
  <c r="R43" i="17"/>
  <c r="V57" i="17"/>
  <c r="Q43" i="17"/>
  <c r="H57" i="17"/>
  <c r="Y57" i="17"/>
  <c r="I57" i="17"/>
  <c r="N43" i="17"/>
  <c r="T57" i="17"/>
  <c r="S57" i="17"/>
  <c r="Q57" i="17"/>
  <c r="M57" i="17"/>
  <c r="W43" i="17"/>
  <c r="F57" i="17"/>
  <c r="F58" i="17" s="1"/>
  <c r="T43" i="17"/>
  <c r="G57" i="17"/>
  <c r="P57" i="17"/>
  <c r="O43" i="17"/>
  <c r="N57" i="17"/>
  <c r="L57" i="17"/>
  <c r="X57" i="17"/>
  <c r="L43" i="17"/>
  <c r="X43" i="17"/>
  <c r="W57" i="17"/>
  <c r="U18" i="7"/>
  <c r="V26" i="7"/>
  <c r="V14" i="7"/>
  <c r="V16" i="12" s="1"/>
  <c r="S28" i="7"/>
  <c r="S12" i="14" s="1"/>
  <c r="S19" i="7"/>
  <c r="R29" i="7"/>
  <c r="R13" i="12" s="1"/>
  <c r="E14" i="6"/>
  <c r="E16" i="6"/>
  <c r="E60" i="7"/>
  <c r="V24" i="7"/>
  <c r="F63" i="17" l="1"/>
  <c r="G58" i="17"/>
  <c r="F61" i="7"/>
  <c r="G56" i="7"/>
  <c r="E41" i="7"/>
  <c r="E42" i="7" s="1"/>
  <c r="R31" i="7"/>
  <c r="R51" i="7" s="1"/>
  <c r="R52" i="7" s="1"/>
  <c r="R32" i="7"/>
  <c r="R35" i="7" s="1"/>
  <c r="R37" i="7" s="1"/>
  <c r="R41" i="7" s="1"/>
  <c r="S54" i="7"/>
  <c r="S55" i="7" s="1"/>
  <c r="S13" i="14"/>
  <c r="S29" i="7"/>
  <c r="S13" i="12" s="1"/>
  <c r="V18" i="7"/>
  <c r="W26" i="7"/>
  <c r="W14" i="7"/>
  <c r="W16" i="12" s="1"/>
  <c r="T19" i="7"/>
  <c r="T28" i="7"/>
  <c r="E15" i="6"/>
  <c r="E24" i="6"/>
  <c r="E13" i="6"/>
  <c r="C13" i="6"/>
  <c r="D13" i="6"/>
  <c r="F24" i="17" s="1"/>
  <c r="E22" i="6"/>
  <c r="E17" i="6"/>
  <c r="E18" i="6"/>
  <c r="E19" i="6"/>
  <c r="E21" i="6"/>
  <c r="E23" i="6"/>
  <c r="E20" i="6"/>
  <c r="W24" i="7"/>
  <c r="H56" i="7" l="1"/>
  <c r="G61" i="7"/>
  <c r="G63" i="17"/>
  <c r="H58" i="17"/>
  <c r="F31" i="17"/>
  <c r="T54" i="7"/>
  <c r="T55" i="7" s="1"/>
  <c r="S31" i="7"/>
  <c r="S51" i="7" s="1"/>
  <c r="S52" i="7" s="1"/>
  <c r="S32" i="7"/>
  <c r="S35" i="7" s="1"/>
  <c r="S37" i="7" s="1"/>
  <c r="S41" i="7" s="1"/>
  <c r="T29" i="7"/>
  <c r="T13" i="12" s="1"/>
  <c r="T12" i="14"/>
  <c r="F22" i="7"/>
  <c r="W18" i="7"/>
  <c r="X26" i="7"/>
  <c r="X14" i="7"/>
  <c r="X16" i="12" s="1"/>
  <c r="U19" i="7"/>
  <c r="U28" i="7"/>
  <c r="C14" i="6"/>
  <c r="D14" i="6" s="1"/>
  <c r="G24" i="17" s="1"/>
  <c r="X24" i="7"/>
  <c r="F33" i="17" l="1"/>
  <c r="F34" i="17"/>
  <c r="F37" i="17" s="1"/>
  <c r="F39" i="17" s="1"/>
  <c r="G31" i="17"/>
  <c r="H63" i="17"/>
  <c r="I58" i="17"/>
  <c r="I56" i="7"/>
  <c r="H61" i="7"/>
  <c r="T31" i="7"/>
  <c r="T51" i="7" s="1"/>
  <c r="T52" i="7" s="1"/>
  <c r="T32" i="7"/>
  <c r="T35" i="7" s="1"/>
  <c r="T37" i="7" s="1"/>
  <c r="T41" i="7" s="1"/>
  <c r="U54" i="7"/>
  <c r="U55" i="7" s="1"/>
  <c r="F29" i="7"/>
  <c r="F13" i="12" s="1"/>
  <c r="T13" i="14"/>
  <c r="U29" i="7"/>
  <c r="U13" i="12" s="1"/>
  <c r="U12" i="14"/>
  <c r="U13" i="14" s="1"/>
  <c r="G22" i="7"/>
  <c r="X18" i="7"/>
  <c r="Y26" i="7"/>
  <c r="Y14" i="7"/>
  <c r="Y16" i="12" s="1"/>
  <c r="V19" i="7"/>
  <c r="V28" i="7"/>
  <c r="C15" i="6"/>
  <c r="D15" i="6" s="1"/>
  <c r="Y24" i="7"/>
  <c r="J56" i="7" l="1"/>
  <c r="I61" i="7"/>
  <c r="G33" i="17"/>
  <c r="G53" i="17" s="1"/>
  <c r="G54" i="17" s="1"/>
  <c r="G34" i="17"/>
  <c r="G37" i="17" s="1"/>
  <c r="G39" i="17" s="1"/>
  <c r="G43" i="17" s="1"/>
  <c r="I63" i="17"/>
  <c r="J58" i="17"/>
  <c r="F43" i="17"/>
  <c r="F44" i="17" s="1"/>
  <c r="F40" i="17"/>
  <c r="H24" i="17"/>
  <c r="F53" i="17"/>
  <c r="U31" i="7"/>
  <c r="U51" i="7" s="1"/>
  <c r="U52" i="7" s="1"/>
  <c r="V54" i="7"/>
  <c r="V55" i="7" s="1"/>
  <c r="F31" i="7"/>
  <c r="F32" i="7"/>
  <c r="F35" i="7" s="1"/>
  <c r="F37" i="7" s="1"/>
  <c r="U32" i="7"/>
  <c r="U35" i="7" s="1"/>
  <c r="U37" i="7" s="1"/>
  <c r="U41" i="7" s="1"/>
  <c r="G29" i="7"/>
  <c r="G13" i="12" s="1"/>
  <c r="V29" i="7"/>
  <c r="V13" i="12" s="1"/>
  <c r="V12" i="14"/>
  <c r="V13" i="14" s="1"/>
  <c r="Y18" i="7"/>
  <c r="C16" i="6"/>
  <c r="D16" i="6" s="1"/>
  <c r="I24" i="17" s="1"/>
  <c r="H22" i="7"/>
  <c r="W19" i="7"/>
  <c r="W28" i="7"/>
  <c r="I31" i="17" l="1"/>
  <c r="F41" i="7"/>
  <c r="F42" i="7" s="1"/>
  <c r="F38" i="7"/>
  <c r="G44" i="17"/>
  <c r="F51" i="7"/>
  <c r="J63" i="17"/>
  <c r="K58" i="17"/>
  <c r="F60" i="17"/>
  <c r="F54" i="17"/>
  <c r="F55" i="17" s="1"/>
  <c r="G40" i="17"/>
  <c r="H31" i="17"/>
  <c r="K56" i="7"/>
  <c r="J61" i="7"/>
  <c r="G14" i="12"/>
  <c r="G31" i="7"/>
  <c r="G51" i="7" s="1"/>
  <c r="G52" i="7" s="1"/>
  <c r="G32" i="7"/>
  <c r="G35" i="7" s="1"/>
  <c r="G37" i="7" s="1"/>
  <c r="G41" i="7" s="1"/>
  <c r="V31" i="7"/>
  <c r="V51" i="7" s="1"/>
  <c r="V52" i="7" s="1"/>
  <c r="V32" i="7"/>
  <c r="V35" i="7" s="1"/>
  <c r="V37" i="7" s="1"/>
  <c r="V41" i="7" s="1"/>
  <c r="W54" i="7"/>
  <c r="W55" i="7" s="1"/>
  <c r="H29" i="7"/>
  <c r="H13" i="12" s="1"/>
  <c r="W29" i="7"/>
  <c r="W12" i="14"/>
  <c r="W13" i="14" s="1"/>
  <c r="C17" i="6"/>
  <c r="D17" i="6" s="1"/>
  <c r="I22" i="7"/>
  <c r="Y28" i="7"/>
  <c r="X19" i="7"/>
  <c r="X28" i="7"/>
  <c r="C18" i="6"/>
  <c r="D18" i="6" s="1"/>
  <c r="W32" i="7" l="1"/>
  <c r="W35" i="7" s="1"/>
  <c r="W37" i="7" s="1"/>
  <c r="W41" i="7" s="1"/>
  <c r="W13" i="12"/>
  <c r="J22" i="7"/>
  <c r="J29" i="7" s="1"/>
  <c r="J13" i="12" s="1"/>
  <c r="J24" i="17"/>
  <c r="H33" i="17"/>
  <c r="H34" i="17"/>
  <c r="H37" i="17" s="1"/>
  <c r="H39" i="17" s="1"/>
  <c r="H40" i="17" s="1"/>
  <c r="G55" i="17"/>
  <c r="F62" i="17"/>
  <c r="F59" i="17"/>
  <c r="G42" i="7"/>
  <c r="K61" i="7"/>
  <c r="L56" i="7"/>
  <c r="K63" i="17"/>
  <c r="L58" i="17"/>
  <c r="G38" i="7"/>
  <c r="I33" i="17"/>
  <c r="I53" i="17" s="1"/>
  <c r="I54" i="17" s="1"/>
  <c r="I34" i="17"/>
  <c r="I37" i="17" s="1"/>
  <c r="I39" i="17" s="1"/>
  <c r="I43" i="17" s="1"/>
  <c r="F52" i="7"/>
  <c r="F53" i="7" s="1"/>
  <c r="F58" i="7"/>
  <c r="W31" i="7"/>
  <c r="W51" i="7" s="1"/>
  <c r="W52" i="7" s="1"/>
  <c r="X54" i="7"/>
  <c r="X55" i="7" s="1"/>
  <c r="H14" i="12"/>
  <c r="H31" i="7"/>
  <c r="H32" i="7"/>
  <c r="H35" i="7" s="1"/>
  <c r="H37" i="7" s="1"/>
  <c r="Y29" i="7"/>
  <c r="Y13" i="12" s="1"/>
  <c r="Y12" i="14"/>
  <c r="X29" i="7"/>
  <c r="X13" i="12" s="1"/>
  <c r="X12" i="14"/>
  <c r="X13" i="14" s="1"/>
  <c r="I29" i="7"/>
  <c r="I13" i="12" s="1"/>
  <c r="K29" i="7"/>
  <c r="K13" i="12" s="1"/>
  <c r="Y19" i="7"/>
  <c r="C19" i="6"/>
  <c r="D19" i="6" s="1"/>
  <c r="H38" i="7" l="1"/>
  <c r="H51" i="7"/>
  <c r="H52" i="7" s="1"/>
  <c r="I40" i="17"/>
  <c r="M56" i="7"/>
  <c r="L61" i="7"/>
  <c r="H43" i="17"/>
  <c r="H44" i="17" s="1"/>
  <c r="L63" i="17"/>
  <c r="M58" i="17"/>
  <c r="H53" i="17"/>
  <c r="H54" i="17" s="1"/>
  <c r="H55" i="17" s="1"/>
  <c r="J31" i="17"/>
  <c r="H41" i="7"/>
  <c r="H42" i="7" s="1"/>
  <c r="G53" i="7"/>
  <c r="F60" i="7"/>
  <c r="F57" i="7"/>
  <c r="G62" i="17"/>
  <c r="G59" i="17"/>
  <c r="I14" i="12"/>
  <c r="I31" i="7"/>
  <c r="I51" i="7" s="1"/>
  <c r="I52" i="7" s="1"/>
  <c r="I32" i="7"/>
  <c r="I35" i="7" s="1"/>
  <c r="I37" i="7" s="1"/>
  <c r="X31" i="7"/>
  <c r="X51" i="7" s="1"/>
  <c r="X52" i="7" s="1"/>
  <c r="X32" i="7"/>
  <c r="X35" i="7" s="1"/>
  <c r="X37" i="7" s="1"/>
  <c r="X41" i="7" s="1"/>
  <c r="Y54" i="7"/>
  <c r="Y55" i="7" s="1"/>
  <c r="Y32" i="7"/>
  <c r="Y35" i="7" s="1"/>
  <c r="Y37" i="7" s="1"/>
  <c r="Y41" i="7" s="1"/>
  <c r="Y31" i="7"/>
  <c r="Y51" i="7" s="1"/>
  <c r="Y52" i="7" s="1"/>
  <c r="J31" i="7"/>
  <c r="J51" i="7" s="1"/>
  <c r="J52" i="7" s="1"/>
  <c r="J32" i="7"/>
  <c r="J35" i="7" s="1"/>
  <c r="J37" i="7" s="1"/>
  <c r="J41" i="7" s="1"/>
  <c r="K14" i="12"/>
  <c r="K31" i="7"/>
  <c r="K51" i="7" s="1"/>
  <c r="K52" i="7" s="1"/>
  <c r="K32" i="7"/>
  <c r="K35" i="7" s="1"/>
  <c r="K37" i="7" s="1"/>
  <c r="K41" i="7" s="1"/>
  <c r="J14" i="12"/>
  <c r="Y13" i="14"/>
  <c r="E15" i="14"/>
  <c r="L22" i="7"/>
  <c r="L29" i="7" s="1"/>
  <c r="L13" i="12" s="1"/>
  <c r="C20" i="6"/>
  <c r="D20" i="6" s="1"/>
  <c r="I55" i="17" l="1"/>
  <c r="H62" i="17"/>
  <c r="H59" i="17"/>
  <c r="J33" i="17"/>
  <c r="J34" i="17"/>
  <c r="J37" i="17" s="1"/>
  <c r="J39" i="17" s="1"/>
  <c r="J40" i="17" s="1"/>
  <c r="H53" i="7"/>
  <c r="G57" i="7"/>
  <c r="G60" i="7"/>
  <c r="I44" i="17"/>
  <c r="I41" i="7"/>
  <c r="I42" i="7" s="1"/>
  <c r="N56" i="7"/>
  <c r="M61" i="7"/>
  <c r="M63" i="17"/>
  <c r="N58" i="17"/>
  <c r="I38" i="7"/>
  <c r="L14" i="12"/>
  <c r="L31" i="7"/>
  <c r="L51" i="7" s="1"/>
  <c r="L52" i="7" s="1"/>
  <c r="L32" i="7"/>
  <c r="L35" i="7" s="1"/>
  <c r="L37" i="7" s="1"/>
  <c r="L41" i="7" s="1"/>
  <c r="M22" i="7"/>
  <c r="M29" i="7" s="1"/>
  <c r="M13" i="12" s="1"/>
  <c r="C21" i="6"/>
  <c r="D21" i="6" s="1"/>
  <c r="J42" i="7" l="1"/>
  <c r="K42" i="7" s="1"/>
  <c r="L42" i="7" s="1"/>
  <c r="I53" i="7"/>
  <c r="H60" i="7"/>
  <c r="H57" i="7"/>
  <c r="J53" i="17"/>
  <c r="J54" i="17" s="1"/>
  <c r="J55" i="17" s="1"/>
  <c r="E48" i="17" a="1"/>
  <c r="E48" i="17" s="1"/>
  <c r="J38" i="7"/>
  <c r="K38" i="7" s="1"/>
  <c r="L38" i="7" s="1"/>
  <c r="N63" i="17"/>
  <c r="O58" i="17"/>
  <c r="K40" i="17"/>
  <c r="L40" i="17" s="1"/>
  <c r="M40" i="17" s="1"/>
  <c r="N40" i="17" s="1"/>
  <c r="O40" i="17" s="1"/>
  <c r="P40" i="17" s="1"/>
  <c r="Q40" i="17" s="1"/>
  <c r="R40" i="17" s="1"/>
  <c r="S40" i="17" s="1"/>
  <c r="T40" i="17" s="1"/>
  <c r="U40" i="17" s="1"/>
  <c r="V40" i="17" s="1"/>
  <c r="W40" i="17" s="1"/>
  <c r="X40" i="17" s="1"/>
  <c r="Y40" i="17" s="1"/>
  <c r="O56" i="7"/>
  <c r="N61" i="7"/>
  <c r="J43" i="17"/>
  <c r="J44" i="17" s="1"/>
  <c r="E47" i="17"/>
  <c r="E18" i="16" s="1"/>
  <c r="E46" i="17"/>
  <c r="E17" i="16" s="1"/>
  <c r="I62" i="17"/>
  <c r="I59" i="17"/>
  <c r="M14" i="12"/>
  <c r="M31" i="7"/>
  <c r="M32" i="7"/>
  <c r="M35" i="7" s="1"/>
  <c r="M37" i="7" s="1"/>
  <c r="N22" i="7"/>
  <c r="N29" i="7" s="1"/>
  <c r="N13" i="12" s="1"/>
  <c r="C22" i="6"/>
  <c r="D22" i="6" s="1"/>
  <c r="D37" i="13" l="1"/>
  <c r="M38" i="7"/>
  <c r="E49" i="17" a="1"/>
  <c r="E49" i="17" s="1"/>
  <c r="K44" i="17"/>
  <c r="L44" i="17" s="1"/>
  <c r="M44" i="17" s="1"/>
  <c r="N44" i="17" s="1"/>
  <c r="O44" i="17" s="1"/>
  <c r="P44" i="17" s="1"/>
  <c r="Q44" i="17" s="1"/>
  <c r="R44" i="17" s="1"/>
  <c r="S44" i="17" s="1"/>
  <c r="T44" i="17" s="1"/>
  <c r="U44" i="17" s="1"/>
  <c r="V44" i="17" s="1"/>
  <c r="W44" i="17" s="1"/>
  <c r="X44" i="17" s="1"/>
  <c r="Y44" i="17" s="1"/>
  <c r="P56" i="7"/>
  <c r="O61" i="7"/>
  <c r="M41" i="7"/>
  <c r="M42" i="7" s="1"/>
  <c r="J53" i="7"/>
  <c r="I57" i="7"/>
  <c r="I60" i="7"/>
  <c r="M51" i="7"/>
  <c r="M52" i="7" s="1"/>
  <c r="K55" i="17"/>
  <c r="J62" i="17"/>
  <c r="J59" i="17"/>
  <c r="O63" i="17"/>
  <c r="P58" i="17"/>
  <c r="N14" i="12"/>
  <c r="N31" i="7"/>
  <c r="N51" i="7" s="1"/>
  <c r="N52" i="7" s="1"/>
  <c r="N32" i="7"/>
  <c r="N35" i="7" s="1"/>
  <c r="N37" i="7" s="1"/>
  <c r="N41" i="7" s="1"/>
  <c r="O22" i="7"/>
  <c r="O29" i="7" s="1"/>
  <c r="O13" i="12" s="1"/>
  <c r="C23" i="6"/>
  <c r="N42" i="7" l="1"/>
  <c r="E50" i="17" a="1"/>
  <c r="E50" i="17" s="1"/>
  <c r="K53" i="7"/>
  <c r="J57" i="7"/>
  <c r="J60" i="7"/>
  <c r="Q56" i="7"/>
  <c r="P61" i="7"/>
  <c r="P63" i="17"/>
  <c r="Q58" i="17"/>
  <c r="L55" i="17"/>
  <c r="K62" i="17"/>
  <c r="K59" i="17"/>
  <c r="N38" i="7"/>
  <c r="O14" i="12"/>
  <c r="O31" i="7"/>
  <c r="O51" i="7" s="1"/>
  <c r="O52" i="7" s="1"/>
  <c r="O32" i="7"/>
  <c r="O35" i="7" s="1"/>
  <c r="O37" i="7" s="1"/>
  <c r="O41" i="7" s="1"/>
  <c r="D23" i="6"/>
  <c r="O42" i="7" l="1"/>
  <c r="M55" i="17"/>
  <c r="L62" i="17"/>
  <c r="L59" i="17"/>
  <c r="L53" i="7"/>
  <c r="K57" i="7"/>
  <c r="K60" i="7"/>
  <c r="O38" i="7"/>
  <c r="Q63" i="17"/>
  <c r="R58" i="17"/>
  <c r="R56" i="7"/>
  <c r="S56" i="7" s="1"/>
  <c r="Q61" i="7"/>
  <c r="P22" i="7"/>
  <c r="P29" i="7" s="1"/>
  <c r="P13" i="12" s="1"/>
  <c r="C24" i="6"/>
  <c r="S61" i="7" l="1"/>
  <c r="T56" i="7"/>
  <c r="R63" i="17"/>
  <c r="S58" i="17"/>
  <c r="N55" i="17"/>
  <c r="M62" i="17"/>
  <c r="M59" i="17"/>
  <c r="R61" i="7"/>
  <c r="M53" i="7"/>
  <c r="L60" i="7"/>
  <c r="L57" i="7"/>
  <c r="P14" i="12"/>
  <c r="P31" i="7"/>
  <c r="P51" i="7" s="1"/>
  <c r="P52" i="7" s="1"/>
  <c r="P32" i="7"/>
  <c r="P35" i="7" s="1"/>
  <c r="P37" i="7" s="1"/>
  <c r="P41" i="7" s="1"/>
  <c r="P42" i="7" s="1"/>
  <c r="D24" i="6"/>
  <c r="N53" i="7" l="1"/>
  <c r="M60" i="7"/>
  <c r="M57" i="7"/>
  <c r="O55" i="17"/>
  <c r="N62" i="17"/>
  <c r="N59" i="17"/>
  <c r="P38" i="7"/>
  <c r="S63" i="17"/>
  <c r="T58" i="17"/>
  <c r="U56" i="7"/>
  <c r="T61" i="7"/>
  <c r="Q22" i="7"/>
  <c r="Q29" i="7" s="1"/>
  <c r="Q13" i="12" s="1"/>
  <c r="C25" i="6"/>
  <c r="D25" i="6" s="1"/>
  <c r="V56" i="7" l="1"/>
  <c r="U61" i="7"/>
  <c r="T63" i="17"/>
  <c r="U58" i="17"/>
  <c r="O53" i="7"/>
  <c r="N60" i="7"/>
  <c r="N57" i="7"/>
  <c r="P55" i="17"/>
  <c r="O62" i="17"/>
  <c r="O59" i="17"/>
  <c r="Q14" i="12"/>
  <c r="Q31" i="7"/>
  <c r="Q32" i="7"/>
  <c r="Q35" i="7" s="1"/>
  <c r="Q37" i="7" s="1"/>
  <c r="C26" i="6"/>
  <c r="D26" i="6" s="1"/>
  <c r="Q41" i="7" l="1"/>
  <c r="Q42" i="7" s="1"/>
  <c r="R42" i="7" s="1"/>
  <c r="S42" i="7" s="1"/>
  <c r="T42" i="7" s="1"/>
  <c r="U42" i="7" s="1"/>
  <c r="V42" i="7" s="1"/>
  <c r="W42" i="7" s="1"/>
  <c r="X42" i="7" s="1"/>
  <c r="Y42" i="7" s="1"/>
  <c r="E48" i="7" s="1" a="1"/>
  <c r="E48" i="7" s="1"/>
  <c r="E45" i="7"/>
  <c r="E44" i="7"/>
  <c r="E15" i="16" s="1"/>
  <c r="P53" i="7"/>
  <c r="O60" i="7"/>
  <c r="O57" i="7"/>
  <c r="Q38" i="7"/>
  <c r="R38" i="7" s="1"/>
  <c r="S38" i="7" s="1"/>
  <c r="T38" i="7" s="1"/>
  <c r="U38" i="7" s="1"/>
  <c r="V38" i="7" s="1"/>
  <c r="W38" i="7" s="1"/>
  <c r="X38" i="7" s="1"/>
  <c r="Y38" i="7" s="1"/>
  <c r="E47" i="7" s="1" a="1"/>
  <c r="E47" i="7" s="1"/>
  <c r="Q51" i="7"/>
  <c r="Q52" i="7" s="1"/>
  <c r="E46" i="7" a="1"/>
  <c r="E46" i="7" s="1"/>
  <c r="Q55" i="17"/>
  <c r="P62" i="17"/>
  <c r="P59" i="17"/>
  <c r="U63" i="17"/>
  <c r="V58" i="17"/>
  <c r="W56" i="7"/>
  <c r="V61" i="7"/>
  <c r="R14" i="12"/>
  <c r="C27" i="6"/>
  <c r="D27" i="6" s="1"/>
  <c r="E16" i="16" l="1"/>
  <c r="B37" i="13"/>
  <c r="E37" i="13"/>
  <c r="C37" i="13"/>
  <c r="X56" i="7"/>
  <c r="W61" i="7"/>
  <c r="Q53" i="7"/>
  <c r="P57" i="7"/>
  <c r="P60" i="7"/>
  <c r="V63" i="17"/>
  <c r="W58" i="17"/>
  <c r="R55" i="17"/>
  <c r="Q62" i="17"/>
  <c r="Q59" i="17"/>
  <c r="S14" i="12"/>
  <c r="C28" i="6"/>
  <c r="W63" i="17" l="1"/>
  <c r="X58" i="17"/>
  <c r="R53" i="7"/>
  <c r="R57" i="7" s="1"/>
  <c r="Q57" i="7"/>
  <c r="Q60" i="7"/>
  <c r="S55" i="17"/>
  <c r="R62" i="17"/>
  <c r="R59" i="17"/>
  <c r="X61" i="7"/>
  <c r="Y56" i="7"/>
  <c r="Y61" i="7" s="1"/>
  <c r="D28" i="6"/>
  <c r="S53" i="7" l="1"/>
  <c r="T53" i="7" s="1"/>
  <c r="U53" i="7" s="1"/>
  <c r="V53" i="7" s="1"/>
  <c r="W53" i="7" s="1"/>
  <c r="X53" i="7" s="1"/>
  <c r="Y53" i="7" s="1"/>
  <c r="R60" i="7"/>
  <c r="T55" i="17"/>
  <c r="S62" i="17"/>
  <c r="S59" i="17"/>
  <c r="X63" i="17"/>
  <c r="Y58" i="17"/>
  <c r="T14" i="12"/>
  <c r="C29" i="6"/>
  <c r="S60" i="7" l="1"/>
  <c r="T57" i="7"/>
  <c r="S57" i="7"/>
  <c r="Y63" i="17"/>
  <c r="U55" i="17"/>
  <c r="T62" i="17"/>
  <c r="T59" i="17"/>
  <c r="T60" i="7"/>
  <c r="D29" i="6"/>
  <c r="V55" i="17" l="1"/>
  <c r="U62" i="17"/>
  <c r="U59" i="17"/>
  <c r="U14" i="12"/>
  <c r="U60" i="7"/>
  <c r="C30" i="6"/>
  <c r="D30" i="6" s="1"/>
  <c r="W55" i="17" l="1"/>
  <c r="V62" i="17"/>
  <c r="V59" i="17"/>
  <c r="U57" i="7"/>
  <c r="C31" i="6"/>
  <c r="D31" i="6" s="1"/>
  <c r="X55" i="17" l="1"/>
  <c r="W62" i="17"/>
  <c r="W59" i="17"/>
  <c r="V57" i="7"/>
  <c r="V14" i="12"/>
  <c r="C32" i="6"/>
  <c r="D32" i="6" s="1"/>
  <c r="Y55" i="17" l="1"/>
  <c r="X62" i="17"/>
  <c r="X59" i="17"/>
  <c r="V60" i="7"/>
  <c r="W14" i="12"/>
  <c r="W60" i="7"/>
  <c r="Y62" i="17" l="1"/>
  <c r="Y59" i="17"/>
  <c r="X57" i="7"/>
  <c r="X14" i="12"/>
  <c r="W57" i="7"/>
  <c r="Y57" i="7" l="1"/>
  <c r="X60" i="7"/>
  <c r="Y14" i="12"/>
  <c r="Y60" i="7" l="1"/>
  <c r="F14" i="12"/>
  <c r="E20" i="12" s="1"/>
  <c r="E19" i="12" l="1"/>
  <c r="E14" i="16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<sst xmlns="http://schemas.openxmlformats.org/spreadsheetml/2006/main" count="354" uniqueCount="209">
  <si>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</si>
  <si>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</si>
  <si>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</si>
  <si>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</si>
  <si>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</si>
  <si>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</si>
  <si>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</si>
  <si>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</si>
  <si>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</si>
  <si>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</si>
  <si>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</si>
  <si>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</si>
  <si>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</si>
  <si>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</si>
  <si>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</si>
  <si>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</si>
  <si>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</si>
  <si>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</si>
  <si>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</si>
  <si>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</si>
  <si>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</si>
  <si>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</si>
  <si>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</si>
  <si>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</si>
  <si>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MWh/a</t>
  </si>
  <si>
    <t>Period</t>
  </si>
  <si>
    <t>NPV (EUR)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</si>
  <si>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</si>
  <si>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</si>
  <si>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RSD/MWh</t>
  </si>
  <si>
    <t xml:space="preserve"> -</t>
  </si>
  <si>
    <t>Sopstveni kapital</t>
  </si>
  <si>
    <t>MW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</si>
  <si>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</si>
  <si>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</si>
  <si>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</si>
  <si>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</si>
  <si>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</si>
  <si>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</si>
  <si>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</si>
  <si>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</si>
  <si>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Toplotna pumpa velikog kapaciteta</t>
  </si>
  <si>
    <t>Foto-naponska instalacija</t>
  </si>
  <si>
    <t>Ugradnja termal-solar sistema u zgradi</t>
  </si>
  <si>
    <t>Termal-solar velikog kapaciteta</t>
  </si>
  <si>
    <t>Kotao na drvnu sečku</t>
  </si>
  <si>
    <t>Izračunavanje cene toplote</t>
  </si>
  <si>
    <t>Termoizolacija omotača zgrade</t>
  </si>
  <si>
    <t>Zamena stolarije</t>
  </si>
  <si>
    <t>Projekat</t>
  </si>
  <si>
    <t>Priprema projekta (projekti, dozvole, ostalo)</t>
  </si>
  <si>
    <t>Nadzor i upravljanje projektom</t>
  </si>
  <si>
    <t>Upravljački deo i SCADA</t>
  </si>
  <si>
    <t>Primopredaja postrojenja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</si>
  <si>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</si>
  <si>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</si>
  <si>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</si>
  <si>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</si>
  <si>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</si>
  <si>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</si>
  <si>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</si>
  <si>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</si>
  <si>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</si>
  <si>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Kamata na sredstva iz kredita</t>
  </si>
  <si>
    <t>Gorivo ili energija</t>
  </si>
  <si>
    <t>UNOS PODATAKA ZA PRORAČUN</t>
  </si>
  <si>
    <t>Ukupno:</t>
  </si>
  <si>
    <t>Ukupno uključujući PDV:</t>
  </si>
  <si>
    <t>CO2 Taksa</t>
  </si>
  <si>
    <t>Konverzioni CO2 faktor - t/MWh primarne energije</t>
  </si>
  <si>
    <t>UKUPNO:</t>
  </si>
  <si>
    <t>KREDIT:</t>
  </si>
  <si>
    <t>ENERGIJA I TROŠKOVI ENERGIJE</t>
  </si>
  <si>
    <t>Proizvodnja toplote</t>
  </si>
  <si>
    <t>Cena električne energije</t>
  </si>
  <si>
    <t>Cena toplote za krajnje kupce</t>
  </si>
  <si>
    <t>Efikasnost mreže daljinskog grejanja</t>
  </si>
  <si>
    <t>Snaga elektromotornih pogona</t>
  </si>
  <si>
    <t>Broj sati rada sa nazivnim kapacitetom</t>
  </si>
  <si>
    <r>
      <t>Referentno gorivo za proračun emisije CO</t>
    </r>
    <r>
      <rPr>
        <vertAlign val="subscript"/>
        <sz val="11"/>
        <color theme="1"/>
        <rFont val="Calibri"/>
        <family val="2"/>
        <scheme val="minor"/>
      </rPr>
      <t>2</t>
    </r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</si>
  <si>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</si>
  <si>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</si>
  <si>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</si>
  <si>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</si>
  <si>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</si>
  <si>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</si>
  <si>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</si>
  <si>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</si>
  <si>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</si>
  <si>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Proizvodnja toplote (MWh/a)</t>
  </si>
  <si>
    <t>Potrošnja električne energije (MWh/a)</t>
  </si>
  <si>
    <t>Prodaja toplote (EUR/a)</t>
  </si>
  <si>
    <t>Ukupna prihod (EUR)</t>
  </si>
  <si>
    <t>Troškovi finansiranja - kamate (EUR/a)</t>
  </si>
  <si>
    <t>Operativni troškovi (EUR/a)</t>
  </si>
  <si>
    <t>Troškovi održavanja (EUR/a)</t>
  </si>
  <si>
    <t>Troškovi električne energije (EUR/a)</t>
  </si>
  <si>
    <t>Ukupno godišnji troškovi (EUR/a)</t>
  </si>
  <si>
    <t>Porez na dobit</t>
  </si>
  <si>
    <t>Dobit nakon oporezivanja (EUR/a)</t>
  </si>
  <si>
    <t>Graf - Troškovi diskontovano kumul.</t>
  </si>
  <si>
    <t>Graf - Prihodi diskontovano kumul.</t>
  </si>
  <si>
    <t>Vremenski okvir</t>
  </si>
  <si>
    <r>
      <t>Smanjenje emisija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</si>
  <si>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r>
      <t>Prihodi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</si>
  <si>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Udeo kupaca u uštedama (EUR/a)</t>
  </si>
  <si>
    <t>GRAFIK / CASH FLOW / FINANSIJSKI</t>
  </si>
  <si>
    <t>GRAFIK / CASH FLOW / EKONOMSKI</t>
  </si>
  <si>
    <t>LCoE PRORAČUN</t>
  </si>
  <si>
    <t>Investicija (EUR)</t>
  </si>
  <si>
    <t>Operativni troškovi i održavanje (EUR)</t>
  </si>
  <si>
    <t>Ukupni troškovi (EUR)</t>
  </si>
  <si>
    <t>ANALIZA OSETLJIVOSTI</t>
  </si>
  <si>
    <t>Ugradnja TS ventila i delitelja troškova</t>
  </si>
  <si>
    <t>Kamatna stopa na sredstva iz kredita</t>
  </si>
  <si>
    <t>Priključenje novog objekta</t>
  </si>
  <si>
    <t>Nabavka termal solar panela</t>
  </si>
  <si>
    <t>Nabavka prateće opreme</t>
  </si>
  <si>
    <t>Montaža panela i prateće opreme</t>
  </si>
  <si>
    <t>Izrada konstrukcije za postavljanje panela</t>
  </si>
  <si>
    <t>Priključni toplovod</t>
  </si>
  <si>
    <t>Nepredviđeni radovi</t>
  </si>
  <si>
    <t>Površina polja termal solar kolektora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</si>
  <si>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</si>
  <si>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Stepen korisnosti postrojenja</t>
  </si>
  <si>
    <t>Prosečan prinos toplote</t>
  </si>
  <si>
    <r>
      <t>kWh/m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d</t>
    </r>
  </si>
  <si>
    <t>h</t>
  </si>
  <si>
    <t>Potrošnja električne energije</t>
  </si>
  <si>
    <t>Da li je električna energija iz OIE</t>
  </si>
  <si>
    <t>NAZAD</t>
  </si>
  <si>
    <t>DALJE</t>
  </si>
  <si>
    <t>Miks goriva</t>
  </si>
  <si>
    <t>ESCO INVESTICIJA</t>
  </si>
  <si>
    <t>Udeo u uštedama ako gradi ESCO (EUR)</t>
  </si>
  <si>
    <t>Diskontovana vrednost udela (EUR)</t>
  </si>
  <si>
    <t>IRR(%)</t>
  </si>
  <si>
    <t>N/A</t>
  </si>
  <si>
    <t>REZIME PROJEKTA</t>
  </si>
  <si>
    <t>Investiciona vrednost (EUR)</t>
  </si>
  <si>
    <t>Subvencije (EUR)</t>
  </si>
  <si>
    <t>LCoE(EE) (EUR/MWh)</t>
  </si>
  <si>
    <t>Prinos na sopstveni kapital</t>
  </si>
  <si>
    <t>Finansijska diskontna stopa</t>
  </si>
  <si>
    <t>Grantovi</t>
  </si>
  <si>
    <t>Kredit</t>
  </si>
  <si>
    <t>Ukupno</t>
  </si>
  <si>
    <t>Projekat “Bolja energija"</t>
  </si>
  <si>
    <t>Toplota iz DH na gas</t>
  </si>
  <si>
    <t>Grantovi (EUR)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</si>
  <si>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</si>
  <si>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</si>
  <si>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</si>
  <si>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</si>
  <si>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</si>
  <si>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</si>
  <si>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</si>
  <si>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</si>
  <si>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</si>
  <si>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</si>
  <si>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</si>
  <si>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</si>
  <si>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</si>
  <si>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</si>
  <si>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</si>
  <si>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</si>
  <si>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</si>
  <si>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</si>
  <si>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</si>
  <si>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</si>
  <si>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</si>
  <si>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</si>
  <si>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</si>
  <si>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</si>
  <si>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r>
      <t>Bez CO</t>
    </r>
    <r>
      <rPr>
        <b/>
        <sz val="11"/>
        <color theme="1"/>
        <rFont val="Calibri"/>
        <family val="2"/>
      </rPr>
      <t>₂</t>
    </r>
  </si>
  <si>
    <r>
      <t>Sa CO</t>
    </r>
    <r>
      <rPr>
        <sz val="11"/>
        <color theme="1"/>
        <rFont val="Calibri"/>
        <family val="2"/>
      </rPr>
      <t>₂</t>
    </r>
  </si>
  <si>
    <t>NPV</t>
  </si>
  <si>
    <t>IRR</t>
  </si>
  <si>
    <t>Bazni slučaj</t>
  </si>
  <si>
    <t>NPV = 0</t>
  </si>
  <si>
    <t>Cena toplote</t>
  </si>
  <si>
    <t>Investicije</t>
  </si>
  <si>
    <r>
      <t>Cena električne energije, sa CO</t>
    </r>
    <r>
      <rPr>
        <b/>
        <sz val="11"/>
        <color theme="1"/>
        <rFont val="Calibri"/>
        <family val="2"/>
      </rPr>
      <t>₂</t>
    </r>
  </si>
  <si>
    <t>Cena toplote, sa CO₂</t>
  </si>
  <si>
    <t>Stepen korisnosti postrojenja, sa CO₂</t>
  </si>
  <si>
    <t>Investicije, sa CO₂</t>
  </si>
  <si>
    <t>IRR (%)</t>
  </si>
  <si>
    <r>
      <t>IRR CO</t>
    </r>
    <r>
      <rPr>
        <sz val="11"/>
        <color theme="0"/>
        <rFont val="Calibri"/>
        <family val="2"/>
      </rPr>
      <t xml:space="preserve">₂ </t>
    </r>
    <r>
      <rPr>
        <sz val="11"/>
        <color theme="0"/>
        <rFont val="Calibri"/>
        <family val="2"/>
        <scheme val="minor"/>
      </rPr>
      <t>(%)</t>
    </r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</si>
  <si>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</si>
  <si>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</si>
  <si>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</si>
  <si>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</si>
  <si>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</si>
  <si>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t>-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</si>
  <si>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</si>
  <si>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</si>
  <si>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</si>
  <si>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</si>
  <si>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</si>
  <si>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</si>
  <si>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</si>
  <si>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</si>
  <si>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</si>
  <si>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</si>
  <si>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Suncokret ljuska</t>
  </si>
  <si>
    <t>Toplota (kupljena)</t>
  </si>
  <si>
    <t>Električna energija OIE</t>
  </si>
  <si>
    <t>Toplota iz DH</t>
  </si>
  <si>
    <r>
      <t>NPV CO</t>
    </r>
    <r>
      <rPr>
        <sz val="11"/>
        <color theme="0"/>
        <rFont val="Calibri"/>
        <family val="2"/>
      </rPr>
      <t>₂ (EUR)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</si>
</sst>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#,##0.00;[Red]\-&quot;$&quot;#,##0.00"/>
    <numFmt numFmtId="165" formatCode="#,##0.00_ ;[Red]\-#,##0.00\ "/>
    <numFmt numFmtId="166" formatCode="#,##0_ ;[Red]\-#,##0\ "/>
    <numFmt numFmtId="167" formatCode="0.000"/>
  </numFmts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81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4" fontId="0" fillId="0" borderId="0" xfId="0" applyNumberFormat="1"/>
    <xf numFmtId="0" fontId="2" fillId="2" borderId="0" xfId="0" applyFont="1" applyFill="1"/>
    <xf numFmtId="0" fontId="2" fillId="3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2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4" borderId="0" xfId="0" applyNumberFormat="1" applyFont="1" applyFill="1"/>
    <xf numFmtId="4" fontId="0" fillId="0" borderId="0" xfId="0" applyNumberFormat="1" applyAlignment="1">
      <alignment horizontal="right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4" borderId="0" xfId="0" applyFont="1" applyFill="1"/>
    <xf numFmtId="0" fontId="0" fillId="0" borderId="0" xfId="0" applyAlignment="1">
      <alignment horizontal="left"/>
    </xf>
    <xf numFmtId="4" fontId="0" fillId="0" borderId="0" xfId="0" applyNumberFormat="1" applyAlignment="1">
      <alignment horizontal="center"/>
    </xf>
    <xf numFmtId="10" fontId="2" fillId="4" borderId="0" xfId="0" applyNumberFormat="1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0" borderId="0" xfId="0" applyFont="1"/>
    <xf numFmtId="0" fontId="0" fillId="8" borderId="0" xfId="0" applyFill="1" applyAlignment="1">
      <alignment horizontal="left"/>
    </xf>
    <xf numFmtId="0" fontId="0" fillId="5" borderId="0" xfId="0" applyFill="1"/>
    <xf numFmtId="4" fontId="0" fillId="5" borderId="0" xfId="0" applyNumberFormat="1" applyFill="1"/>
    <xf numFmtId="0" fontId="11" fillId="0" borderId="0" xfId="0" applyFont="1" applyAlignment="1">
      <alignment horizontal="left"/>
    </xf>
    <xf numFmtId="0" fontId="11" fillId="8" borderId="0" xfId="0" applyFont="1" applyFill="1" applyAlignment="1">
      <alignment horizontal="left"/>
    </xf>
    <xf numFmtId="165" fontId="0" fillId="8" borderId="0" xfId="0" applyNumberFormat="1" applyFill="1"/>
    <xf numFmtId="164" fontId="0" fillId="8" borderId="0" xfId="0" applyNumberFormat="1" applyFill="1"/>
    <xf numFmtId="10" fontId="0" fillId="8" borderId="0" xfId="0" applyNumberFormat="1" applyFill="1"/>
    <xf numFmtId="0" fontId="0" fillId="8" borderId="0" xfId="0" applyFill="1"/>
    <xf numFmtId="166" fontId="0" fillId="8" borderId="0" xfId="0" applyNumberFormat="1" applyFill="1"/>
    <xf numFmtId="4" fontId="0" fillId="8" borderId="0" xfId="0" applyNumberFormat="1" applyFill="1"/>
    <xf numFmtId="0" fontId="13" fillId="0" borderId="1" xfId="0" applyFont="1" applyBorder="1" applyAlignment="1">
      <alignment horizontal="centerContinuous"/>
    </xf>
    <xf numFmtId="0" fontId="13" fillId="0" borderId="2" xfId="0" applyFont="1" applyBorder="1" applyAlignment="1">
      <alignment horizontal="centerContinuous"/>
    </xf>
    <xf numFmtId="0" fontId="13" fillId="0" borderId="3" xfId="0" applyFont="1" applyBorder="1" applyAlignment="1">
      <alignment horizontal="center"/>
    </xf>
    <xf numFmtId="0" fontId="13" fillId="0" borderId="0" xfId="0" applyFont="1"/>
    <xf numFmtId="166" fontId="0" fillId="0" borderId="0" xfId="0" applyNumberFormat="1"/>
    <xf numFmtId="10" fontId="0" fillId="0" borderId="0" xfId="2" applyNumberFormat="1" applyFont="1"/>
    <xf numFmtId="166" fontId="0" fillId="0" borderId="0" xfId="2" applyNumberFormat="1" applyFont="1"/>
    <xf numFmtId="0" fontId="1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4" borderId="0" xfId="0" applyFont="1" applyFill="1"/>
    <xf numFmtId="0" fontId="2" fillId="4" borderId="0" xfId="0" applyFont="1" applyFill="1" applyProtection="1">
      <protection locked="0"/>
    </xf>
    <xf numFmtId="4" fontId="1" fillId="4" borderId="0" xfId="0" applyNumberFormat="1" applyFont="1" applyFill="1" applyProtection="1">
      <protection locked="0"/>
    </xf>
    <xf numFmtId="167" fontId="11" fillId="0" borderId="0" xfId="0" applyNumberFormat="1" applyFont="1"/>
    <xf numFmtId="4" fontId="1" fillId="4" borderId="0" xfId="0" applyNumberFormat="1" applyFont="1" applyFill="1"/>
    <xf numFmtId="2" fontId="1" fillId="4" borderId="0" xfId="0" applyNumberFormat="1" applyFont="1" applyFill="1"/>
    <xf numFmtId="0" fontId="18" fillId="0" borderId="0" xfId="0" applyFont="1"/>
    <xf numFmtId="0" fontId="10" fillId="0" borderId="0" xfId="0" applyFont="1" applyAlignment="1">
      <alignment horizontal="center"/>
    </xf>
    <xf numFmtId="0" fontId="5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center"/>
    </xf>
    <xf numFmtId="0" fontId="9" fillId="6" borderId="0" xfId="1" applyFont="1" applyFill="1" applyAlignment="1" applyProtection="1">
      <alignment horizontal="center" vertical="distributed"/>
      <protection locked="0"/>
    </xf>
    <xf numFmtId="0" fontId="9" fillId="7" borderId="0" xfId="1" applyFont="1" applyFill="1" applyAlignment="1" applyProtection="1">
      <alignment horizontal="center" vertical="distributed"/>
      <protection locked="0"/>
    </xf>
    <xf numFmtId="0" fontId="2" fillId="4" borderId="0" xfId="0" applyFont="1" applyFill="1" applyAlignment="1">
      <alignment horizontal="left" vertical="distributed"/>
    </xf>
    <xf numFmtId="0" fontId="3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2" fillId="2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0" fillId="0" borderId="0" xfId="0" applyAlignment="1" applyProtection="1">
      <alignment horizontal="left"/>
      <protection locked="0"/>
    </xf>
    <xf numFmtId="0" fontId="1" fillId="4" borderId="0" xfId="0" applyFont="1" applyFill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9" fillId="6" borderId="0" xfId="1" applyFont="1" applyFill="1" applyAlignment="1" applyProtection="1">
      <alignment horizontal="center" vertical="distributed" shrinkToFit="1"/>
      <protection locked="0"/>
    </xf>
    <xf numFmtId="0" fontId="3" fillId="4" borderId="0" xfId="0" applyFont="1" applyFill="1" applyAlignment="1" applyProtection="1">
      <alignment horizontal="center" vertical="distributed"/>
      <protection locked="0"/>
    </xf>
    <xf numFmtId="0" fontId="1" fillId="4" borderId="0" xfId="0" applyFont="1" applyFill="1" applyAlignment="1">
      <alignment horizontal="left"/>
    </xf>
    <xf numFmtId="0" fontId="2" fillId="4" borderId="0" xfId="0" applyFont="1" applyFill="1"/>
    <xf numFmtId="10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FinaIndikatori!$A$57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FinaIndikatori!$E$57:$Y$57</c:f>
              <c:numCache>
                <c:formatCode>#,##0.00</c:formatCode>
                <c:ptCount val="21"/>
                <c:pt idx="1">
                  <c:v>-40852.574779903785</c:v>
                </c:pt>
                <c:pt idx="2">
                  <c:v>-40421.107577989744</c:v>
                </c:pt>
                <c:pt idx="3">
                  <c:v>-40005.029230221371</c:v>
                </c:pt>
                <c:pt idx="4">
                  <c:v>-39603.790872557875</c:v>
                </c:pt>
                <c:pt idx="5">
                  <c:v>-39216.863216927661</c:v>
                </c:pt>
                <c:pt idx="6">
                  <c:v>-36545.879453179165</c:v>
                </c:pt>
                <c:pt idx="7">
                  <c:v>-33970.159893484742</c:v>
                </c:pt>
                <c:pt idx="8">
                  <c:v>-31486.306812745039</c:v>
                </c:pt>
                <c:pt idx="9">
                  <c:v>-29091.043670265324</c:v>
                </c:pt>
                <c:pt idx="10">
                  <c:v>-26781.210787551834</c:v>
                </c:pt>
                <c:pt idx="11">
                  <c:v>-24553.761180265225</c:v>
                </c:pt>
                <c:pt idx="12">
                  <c:v>-22405.756538833033</c:v>
                </c:pt>
                <c:pt idx="13">
                  <c:v>-20334.363352418943</c:v>
                </c:pt>
                <c:pt idx="14">
                  <c:v>-18336.849171135844</c:v>
                </c:pt>
                <c:pt idx="15">
                  <c:v>-16410.579001572085</c:v>
                </c:pt>
                <c:pt idx="16">
                  <c:v>-14553.011830876072</c:v>
                </c:pt>
                <c:pt idx="17">
                  <c:v>-12761.697274814069</c:v>
                </c:pt>
                <c:pt idx="18">
                  <c:v>-11034.272345379475</c:v>
                </c:pt>
                <c:pt idx="19">
                  <c:v>-9368.4583336895885</c:v>
                </c:pt>
                <c:pt idx="20">
                  <c:v>-7762.0578040580876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46F-43D3-A187-54D1236FB5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7774720"/>
        <c:axId val="182231616"/>
      </c:barChart>
      <c:lineChart>
        <c:grouping val="standard"/>
        <c:varyColors val="0"/>
        <c:ser>
          <c:idx val="0"/>
          <c:order val="0"/>
          <c:tx>
            <c:strRef>
              <c:f>FinaIndikatori!$A$60</c:f>
              <c:strCache>
                <c:ptCount val="1"/>
                <c:pt idx="0">
                  <c:v>Graf - Troškovi diskontovano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FinaIndikatori!$E$9:$Y$9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FinaIndikatori!$E$60:$Y$60</c:f>
              <c:numCache>
                <c:formatCode>#,##0.00</c:formatCode>
                <c:ptCount val="21"/>
                <c:pt idx="0">
                  <c:v>10300</c:v>
                </c:pt>
                <c:pt idx="1">
                  <c:v>46240.541044265672</c:v>
                </c:pt>
                <c:pt idx="2">
                  <c:v>51004.87109220618</c:v>
                </c:pt>
                <c:pt idx="3">
                  <c:v>55599.274944402619</c:v>
                </c:pt>
                <c:pt idx="4">
                  <c:v>60029.813245627607</c:v>
                </c:pt>
                <c:pt idx="5">
                  <c:v>64302.330479661621</c:v>
                </c:pt>
                <c:pt idx="6">
                  <c:v>66124.606279117434</c:v>
                </c:pt>
                <c:pt idx="7">
                  <c:v>67881.888177839632</c:v>
                </c:pt>
                <c:pt idx="8">
                  <c:v>69576.494270122086</c:v>
                </c:pt>
                <c:pt idx="9">
                  <c:v>71210.659972328969</c:v>
                </c:pt>
                <c:pt idx="10">
                  <c:v>72786.540971713577</c:v>
                </c:pt>
                <c:pt idx="11">
                  <c:v>74306.216070063572</c:v>
                </c:pt>
                <c:pt idx="12">
                  <c:v>75771.689925923813</c:v>
                </c:pt>
                <c:pt idx="13">
                  <c:v>77184.895699014189</c:v>
                </c:pt>
                <c:pt idx="14">
                  <c:v>78547.697600330692</c:v>
                </c:pt>
                <c:pt idx="15">
                  <c:v>79861.89335129378</c:v>
                </c:pt>
                <c:pt idx="16">
                  <c:v>81129.216555187901</c:v>
                </c:pt>
                <c:pt idx="17">
                  <c:v>82351.338984020476</c:v>
                </c:pt>
                <c:pt idx="18">
                  <c:v>83529.872783817002</c:v>
                </c:pt>
                <c:pt idx="19">
                  <c:v>84666.372601261319</c:v>
                </c:pt>
                <c:pt idx="20">
                  <c:v>85762.337634486466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46F-43D3-A187-54D1236FB536}"/>
            </c:ext>
          </c:extLst>
        </c:ser>
        <c:ser>
          <c:idx val="1"/>
          <c:order val="1"/>
          <c:tx>
            <c:strRef>
              <c:f>FinaIndikatori!$A$61</c:f>
              <c:strCache>
                <c:ptCount val="1"/>
                <c:pt idx="0">
                  <c:v>Graf - Prihodi diskontovano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FinaIndikatori!$E$61:$Y$61</c:f>
              <c:numCache>
                <c:formatCode>#,##0.00</c:formatCode>
                <c:ptCount val="21"/>
                <c:pt idx="1">
                  <c:v>5387.966264361884</c:v>
                </c:pt>
                <c:pt idx="2">
                  <c:v>10583.763514216436</c:v>
                </c:pt>
                <c:pt idx="3">
                  <c:v>15594.245714181248</c:v>
                </c:pt>
                <c:pt idx="4">
                  <c:v>20426.022373069736</c:v>
                </c:pt>
                <c:pt idx="5">
                  <c:v>25085.467262733961</c:v>
                </c:pt>
                <c:pt idx="6">
                  <c:v>29578.726825938269</c:v>
                </c:pt>
                <c:pt idx="7">
                  <c:v>33911.728284354889</c:v>
                </c:pt>
                <c:pt idx="8">
                  <c:v>38090.187457377047</c:v>
                </c:pt>
                <c:pt idx="9">
                  <c:v>42119.616302063645</c:v>
                </c:pt>
                <c:pt idx="10">
                  <c:v>46005.330184161743</c:v>
                </c:pt>
                <c:pt idx="11">
                  <c:v>49752.454889798348</c:v>
                </c:pt>
                <c:pt idx="12">
                  <c:v>53365.933387090779</c:v>
                </c:pt>
                <c:pt idx="13">
                  <c:v>56850.532346595246</c:v>
                </c:pt>
                <c:pt idx="14">
                  <c:v>60210.848429194848</c:v>
                </c:pt>
                <c:pt idx="15">
                  <c:v>63451.314349721695</c:v>
                </c:pt>
                <c:pt idx="16">
                  <c:v>66576.204724311829</c:v>
                </c:pt>
                <c:pt idx="17">
                  <c:v>69589.641709206408</c:v>
                </c:pt>
                <c:pt idx="18">
                  <c:v>72495.600438437526</c:v>
                </c:pt>
                <c:pt idx="19">
                  <c:v>75297.91426757173</c:v>
                </c:pt>
                <c:pt idx="20">
                  <c:v>78000.279830428379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46F-43D3-A187-54D1236FB5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774720"/>
        <c:axId val="182231616"/>
      </c:lineChart>
      <c:catAx>
        <c:axId val="1677747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231616"/>
        <c:crosses val="autoZero"/>
        <c:auto val="1"/>
        <c:lblAlgn val="ctr"/>
        <c:lblOffset val="100"/>
        <c:noMultiLvlLbl val="0"/>
      </c:catAx>
      <c:valAx>
        <c:axId val="18223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77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</a:t>
            </a:r>
            <a:r>
              <a:rPr lang="sr-Latn-RS" baseline="0"/>
              <a:t>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'FinInd+CO2'!$A$59:$D$59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'FinInd+CO2'!$E$59:$Y$59</c:f>
              <c:numCache>
                <c:formatCode>#,##0.00</c:formatCode>
                <c:ptCount val="21"/>
                <c:pt idx="1">
                  <c:v>-39752.702612981935</c:v>
                </c:pt>
                <c:pt idx="2">
                  <c:v>-38260.591654279095</c:v>
                </c:pt>
                <c:pt idx="3">
                  <c:v>-36821.698826203028</c:v>
                </c:pt>
                <c:pt idx="4">
                  <c:v>-35434.126033031789</c:v>
                </c:pt>
                <c:pt idx="5">
                  <c:v>-34096.042877162967</c:v>
                </c:pt>
                <c:pt idx="6">
                  <c:v>-30507.827844723673</c:v>
                </c:pt>
                <c:pt idx="7">
                  <c:v>-27047.59129484935</c:v>
                </c:pt>
                <c:pt idx="8">
                  <c:v>-23710.768703995112</c:v>
                </c:pt>
                <c:pt idx="9">
                  <c:v>-20492.958348445994</c:v>
                </c:pt>
                <c:pt idx="10">
                  <c:v>-17389.915497843489</c:v>
                </c:pt>
                <c:pt idx="11">
                  <c:v>-14397.546815807807</c:v>
                </c:pt>
                <c:pt idx="12">
                  <c:v>-11511.904960269327</c:v>
                </c:pt>
                <c:pt idx="13">
                  <c:v>-8729.1833763865725</c:v>
                </c:pt>
                <c:pt idx="14">
                  <c:v>-6045.7112751815584</c:v>
                </c:pt>
                <c:pt idx="15">
                  <c:v>-3457.948791268951</c:v>
                </c:pt>
                <c:pt idx="16">
                  <c:v>-962.48231329122791</c:v>
                </c:pt>
                <c:pt idx="17">
                  <c:v>1443.9800190998794</c:v>
                </c:pt>
                <c:pt idx="18">
                  <c:v>3764.6126576557726</c:v>
                </c:pt>
                <c:pt idx="19">
                  <c:v>6002.4768330654479</c:v>
                </c:pt>
                <c:pt idx="20">
                  <c:v>8160.5245931359677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89-4685-A72C-B3C376182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80019200"/>
        <c:axId val="223504064"/>
      </c:barChart>
      <c:lineChart>
        <c:grouping val="standard"/>
        <c:varyColors val="0"/>
        <c:ser>
          <c:idx val="0"/>
          <c:order val="0"/>
          <c:tx>
            <c:strRef>
              <c:f>'FinInd+CO2'!$A$62:$D$62</c:f>
              <c:strCache>
                <c:ptCount val="1"/>
                <c:pt idx="0">
                  <c:v>Graf - Troškovi diskontovano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FinaIndikatori!$E$9:$Y$9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'FinInd+CO2'!$E$62:$Y$62</c:f>
              <c:numCache>
                <c:formatCode>#,##0.00</c:formatCode>
                <c:ptCount val="21"/>
                <c:pt idx="0">
                  <c:v>10300</c:v>
                </c:pt>
                <c:pt idx="1">
                  <c:v>46240.541044265672</c:v>
                </c:pt>
                <c:pt idx="2">
                  <c:v>51004.87109220618</c:v>
                </c:pt>
                <c:pt idx="3">
                  <c:v>55599.274944402619</c:v>
                </c:pt>
                <c:pt idx="4">
                  <c:v>60029.813245627607</c:v>
                </c:pt>
                <c:pt idx="5">
                  <c:v>64302.330479661621</c:v>
                </c:pt>
                <c:pt idx="6">
                  <c:v>66124.606279117434</c:v>
                </c:pt>
                <c:pt idx="7">
                  <c:v>67881.888177839632</c:v>
                </c:pt>
                <c:pt idx="8">
                  <c:v>69576.494270122086</c:v>
                </c:pt>
                <c:pt idx="9">
                  <c:v>71210.659972328969</c:v>
                </c:pt>
                <c:pt idx="10">
                  <c:v>72786.540971713577</c:v>
                </c:pt>
                <c:pt idx="11">
                  <c:v>74306.216070063572</c:v>
                </c:pt>
                <c:pt idx="12">
                  <c:v>75771.689925923813</c:v>
                </c:pt>
                <c:pt idx="13">
                  <c:v>77184.895699014189</c:v>
                </c:pt>
                <c:pt idx="14">
                  <c:v>78547.697600330692</c:v>
                </c:pt>
                <c:pt idx="15">
                  <c:v>79861.89335129378</c:v>
                </c:pt>
                <c:pt idx="16">
                  <c:v>81129.216555187901</c:v>
                </c:pt>
                <c:pt idx="17">
                  <c:v>82351.338984020476</c:v>
                </c:pt>
                <c:pt idx="18">
                  <c:v>83529.872783817002</c:v>
                </c:pt>
                <c:pt idx="19">
                  <c:v>84666.372601261319</c:v>
                </c:pt>
                <c:pt idx="20">
                  <c:v>85762.337634486466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189-4685-A72C-B3C376182B23}"/>
            </c:ext>
          </c:extLst>
        </c:ser>
        <c:ser>
          <c:idx val="1"/>
          <c:order val="1"/>
          <c:tx>
            <c:strRef>
              <c:f>'FinInd+CO2'!$A$63:$D$63</c:f>
              <c:strCache>
                <c:ptCount val="1"/>
                <c:pt idx="0">
                  <c:v>Graf - Prihodi diskontovano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'FinInd+CO2'!$E$63:$Y$63</c:f>
              <c:numCache>
                <c:formatCode>#,##0.00</c:formatCode>
                <c:ptCount val="21"/>
                <c:pt idx="1">
                  <c:v>6487.8384312837343</c:v>
                </c:pt>
                <c:pt idx="2">
                  <c:v>12744.279437927089</c:v>
                </c:pt>
                <c:pt idx="3">
                  <c:v>18777.576118199591</c:v>
                </c:pt>
                <c:pt idx="4">
                  <c:v>24595.687212595814</c:v>
                </c:pt>
                <c:pt idx="5">
                  <c:v>30206.287602498658</c:v>
                </c:pt>
                <c:pt idx="6">
                  <c:v>35616.77843439376</c:v>
                </c:pt>
                <c:pt idx="7">
                  <c:v>40834.296882990282</c:v>
                </c:pt>
                <c:pt idx="8">
                  <c:v>45865.725566126974</c:v>
                </c:pt>
                <c:pt idx="9">
                  <c:v>50717.701623882975</c:v>
                </c:pt>
                <c:pt idx="10">
                  <c:v>55396.625473870088</c:v>
                </c:pt>
                <c:pt idx="11">
                  <c:v>59908.669254255765</c:v>
                </c:pt>
                <c:pt idx="12">
                  <c:v>64259.784965654486</c:v>
                </c:pt>
                <c:pt idx="13">
                  <c:v>68455.712322627616</c:v>
                </c:pt>
                <c:pt idx="14">
                  <c:v>72501.986325149133</c:v>
                </c:pt>
                <c:pt idx="15">
                  <c:v>76403.944560024829</c:v>
                </c:pt>
                <c:pt idx="16">
                  <c:v>80166.734241896673</c:v>
                </c:pt>
                <c:pt idx="17">
                  <c:v>83795.319003120356</c:v>
                </c:pt>
                <c:pt idx="18">
                  <c:v>87294.485441472774</c:v>
                </c:pt>
                <c:pt idx="19">
                  <c:v>90668.849434326767</c:v>
                </c:pt>
                <c:pt idx="20">
                  <c:v>93922.862227622434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189-4685-A72C-B3C376182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80019200"/>
        <c:axId val="223504064"/>
      </c:lineChart>
      <c:catAx>
        <c:axId val="180019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504064"/>
        <c:crosses val="autoZero"/>
        <c:auto val="1"/>
        <c:lblAlgn val="ctr"/>
        <c:lblOffset val="100"/>
        <c:noMultiLvlLbl val="0"/>
      </c:catAx>
      <c:valAx>
        <c:axId val="22350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019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Uticaj promena na Neto sadašnju vrednost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Osetljivost!$A$14</c:f>
              <c:strCache>
                <c:ptCount val="1"/>
                <c:pt idx="0">
                  <c:v>Cena električne energije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Osetljivost!$B$15:$B$16</c:f>
              <c:numCache>
                <c:formatCode>#.##0_ ;[Red]\-#.##0\ </c:formatCode>
                <c:ptCount val="2"/>
                <c:pt idx="0">
                  <c:v>-8733.1194676786654</c:v>
                </c:pt>
                <c:pt idx="1">
                  <c:v>-6237.3078188824811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A87-43E4-90CB-E7295E1447F5}"/>
            </c:ext>
          </c:extLst>
        </c:ser>
        <c:ser>
          <c:idx val="1"/>
          <c:order val="1"/>
          <c:tx>
            <c:strRef>
              <c:f>Osetljivost!$A$14</c:f>
              <c:strCache>
                <c:ptCount val="1"/>
                <c:pt idx="0">
                  <c:v>Cena električne energije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Osetljivost!$D$15:$D$16</c:f>
              <c:numCache>
                <c:formatCode>#.##0_ ;[Red]\-#.##0\ </c:formatCode>
                <c:ptCount val="2"/>
                <c:pt idx="0">
                  <c:v>3728.6317227567656</c:v>
                </c:pt>
                <c:pt idx="1">
                  <c:v>6224.443371552964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A87-43E4-90CB-E7295E1447F5}"/>
            </c:ext>
          </c:extLst>
        </c:ser>
        <c:ser>
          <c:idx val="2"/>
          <c:order val="2"/>
          <c:tx>
            <c:strRef>
              <c:f>Osetljivost!$A$19</c:f>
              <c:strCache>
                <c:ptCount val="1"/>
                <c:pt idx="0">
                  <c:v>Cena toplote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Osetljivost!$B$20:$B$21</c:f>
              <c:numCache>
                <c:formatCode>#.##0_ ;[Red]\-#.##0\ </c:formatCode>
                <c:ptCount val="2"/>
                <c:pt idx="0">
                  <c:v>36.615921827600353</c:v>
                </c:pt>
                <c:pt idx="1">
                  <c:v>-15007.043208388714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A87-43E4-90CB-E7295E1447F5}"/>
            </c:ext>
          </c:extLst>
        </c:ser>
        <c:ser>
          <c:idx val="3"/>
          <c:order val="3"/>
          <c:tx>
            <c:strRef>
              <c:f>Osetljivost!$S$14</c:f>
              <c:strCache>
                <c:ptCount val="1"/>
                <c:pt idx="0">
                  <c:v>Cena toplote, sa CO₂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Osetljivost!$D$20:$D$21</c:f>
              <c:numCache>
                <c:formatCode>#.##0_ ;[Red]\-#.##0\ </c:formatCode>
                <c:ptCount val="2"/>
                <c:pt idx="0">
                  <c:v>12498.36711226302</c:v>
                </c:pt>
                <c:pt idx="1">
                  <c:v>-2545.2920179532748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A87-43E4-90CB-E7295E1447F5}"/>
            </c:ext>
          </c:extLst>
        </c:ser>
        <c:ser>
          <c:idx val="4"/>
          <c:order val="4"/>
          <c:tx>
            <c:strRef>
              <c:f>Osetljivost!$A$24</c:f>
              <c:strCache>
                <c:ptCount val="1"/>
                <c:pt idx="0">
                  <c:v>CO2 Taksa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Osetljivost!$D$25:$D$26</c:f>
              <c:numCache>
                <c:formatCode>#.##0_ ;[Red]\-#.##0\ </c:formatCode>
                <c:ptCount val="2"/>
                <c:pt idx="0">
                  <c:v>6222.7126661984057</c:v>
                </c:pt>
                <c:pt idx="1">
                  <c:v>3730.3624281113302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A87-43E4-90CB-E7295E1447F5}"/>
            </c:ext>
          </c:extLst>
        </c:ser>
        <c:ser>
          <c:idx val="5"/>
          <c:order val="5"/>
          <c:tx>
            <c:strRef>
              <c:f>Osetljivost!$A$29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Osetljivost!$B$30:$B$31</c:f>
              <c:numCache>
                <c:formatCode>#.##0_ ;[Red]\-#.##0\ </c:formatCode>
                <c:ptCount val="2"/>
                <c:pt idx="0">
                  <c:v>-20358.893919706166</c:v>
                </c:pt>
                <c:pt idx="1">
                  <c:v>7077.2542736395044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A87-43E4-90CB-E7295E1447F5}"/>
            </c:ext>
          </c:extLst>
        </c:ser>
        <c:ser>
          <c:idx val="6"/>
          <c:order val="6"/>
          <c:tx>
            <c:strRef>
              <c:f>Osetljivost!$S$17</c:f>
              <c:strCache>
                <c:ptCount val="1"/>
                <c:pt idx="0">
                  <c:v>Investicije, sa CO₂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Osetljivost!$D$30:$D$31</c:f>
              <c:numCache>
                <c:formatCode>#.##0_ ;[Red]\-#.##0\ </c:formatCode>
                <c:ptCount val="2"/>
                <c:pt idx="0">
                  <c:v>-8784.4077344831039</c:v>
                </c:pt>
                <c:pt idx="1">
                  <c:v>20758.352879456284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A87-43E4-90CB-E7295E144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227520"/>
        <c:axId val="68837376"/>
      </c:lineChart>
      <c:catAx>
        <c:axId val="69227520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837376"/>
        <c:crosses val="autoZero"/>
        <c:auto val="1"/>
        <c:lblAlgn val="ctr"/>
        <c:lblOffset val="100"/>
        <c:noMultiLvlLbl val="0"/>
      </c:catAx>
      <c:valAx>
        <c:axId val="68837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.##0_ ;[Red]\-#.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27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[1]FinaIndikatori!$A$37</c:f>
              <c:strCache>
                <c:ptCount val="1"/>
                <c:pt idx="0">
                  <c:v>Dobit nakon oporezivanja (EUR/a)</c:v>
                </c:pt>
              </c:strCache>
              <c:extLst xmlns:c16r2="http://schemas.microsoft.com/office/drawing/2015/06/chart" xmlns:c15="http://schemas.microsoft.com/office/drawing/2012/chart"/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[1]FinaIndikatori!$E$37:$Y$37</c:f>
              <c:numCache>
                <c:formatCode>General</c:formatCode>
                <c:ptCount val="21"/>
                <c:pt idx="1">
                  <c:v>6520.0732439661178</c:v>
                </c:pt>
                <c:pt idx="2">
                  <c:v>7747.4209373872764</c:v>
                </c:pt>
                <c:pt idx="3">
                  <c:v>9122.0503540189729</c:v>
                </c:pt>
                <c:pt idx="4">
                  <c:v>10661.635300646474</c:v>
                </c:pt>
                <c:pt idx="5">
                  <c:v>12385.970440869276</c:v>
                </c:pt>
                <c:pt idx="6">
                  <c:v>14317.225797918811</c:v>
                </c:pt>
                <c:pt idx="7">
                  <c:v>16480.231797814289</c:v>
                </c:pt>
                <c:pt idx="8">
                  <c:v>18902.798517697232</c:v>
                </c:pt>
                <c:pt idx="9">
                  <c:v>21616.073243966122</c:v>
                </c:pt>
                <c:pt idx="10">
                  <c:v>21616.073243966122</c:v>
                </c:pt>
                <c:pt idx="11">
                  <c:v>21616.073243966122</c:v>
                </c:pt>
                <c:pt idx="12">
                  <c:v>21616.073243966122</c:v>
                </c:pt>
                <c:pt idx="13">
                  <c:v>21616.073243966122</c:v>
                </c:pt>
                <c:pt idx="14">
                  <c:v>21616.073243966122</c:v>
                </c:pt>
                <c:pt idx="15">
                  <c:v>21616.073243966122</c:v>
                </c:pt>
                <c:pt idx="16">
                  <c:v>21616.073243966122</c:v>
                </c:pt>
                <c:pt idx="17">
                  <c:v>21616.073243966122</c:v>
                </c:pt>
                <c:pt idx="18">
                  <c:v>21616.073243966122</c:v>
                </c:pt>
                <c:pt idx="19">
                  <c:v>21616.073243966122</c:v>
                </c:pt>
                <c:pt idx="20">
                  <c:v>21616.073243966122</c:v>
                </c:pt>
              </c:numCache>
              <c:extLst xmlns:c16r2="http://schemas.microsoft.com/office/drawing/2015/06/chart" xmlns:c15="http://schemas.microsoft.com/office/drawing/2012/chart"/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2AE-4649-A9BA-9A30622EA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69351936"/>
        <c:axId val="68843136"/>
        <c:extLst xmlns:c16r2="http://schemas.microsoft.com/office/drawing/2015/06/chart"/>
      </c:barChart>
      <c:lineChart>
        <c:grouping val="standard"/>
        <c:varyColors val="0"/>
        <c:ser>
          <c:idx val="3"/>
          <c:order val="1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2AE-4649-A9BA-9A30622EA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69351936"/>
        <c:axId val="68843136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[1]FinaIndikatori!$A$39</c15:sqref>
                        </c15:formulaRef>
                      </c:ext>
                    </c:extLst>
                    <c:strCache>
                      <c:ptCount val="1"/>
                      <c:pt idx="0">
                        <c:v>Neto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[1]FinaIndikatori!$E$3:$Y$3</c15:sqref>
                        </c15:formulaRef>
                      </c:ext>
                    </c:extLst>
                    <c:numCache>
                      <c:formatCode>General</c:formatCode>
                      <c:ptCount val="21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[1]FinaIndikatori!$E$39:$Y$39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6637.2527202292758</c:v>
                      </c:pt>
                      <c:pt idx="2">
                        <c:v>6420.6619508020121</c:v>
                      </c:pt>
                      <c:pt idx="3">
                        <c:v>6178.080289043477</c:v>
                      </c:pt>
                      <c:pt idx="4">
                        <c:v>5906.3888278739178</c:v>
                      </c:pt>
                      <c:pt idx="5">
                        <c:v>5602.0943913640131</c:v>
                      </c:pt>
                      <c:pt idx="6">
                        <c:v>5261.2846224729183</c:v>
                      </c:pt>
                      <c:pt idx="7">
                        <c:v>4879.5776813148914</c:v>
                      </c:pt>
                      <c:pt idx="8">
                        <c:v>4452.0659072179042</c:v>
                      </c:pt>
                      <c:pt idx="9">
                        <c:v>33766.073243966122</c:v>
                      </c:pt>
                      <c:pt idx="10">
                        <c:v>33766.073243966122</c:v>
                      </c:pt>
                      <c:pt idx="11">
                        <c:v>33766.073243966122</c:v>
                      </c:pt>
                      <c:pt idx="12">
                        <c:v>33766.073243966122</c:v>
                      </c:pt>
                      <c:pt idx="13">
                        <c:v>33766.073243966122</c:v>
                      </c:pt>
                      <c:pt idx="14">
                        <c:v>33766.073243966122</c:v>
                      </c:pt>
                      <c:pt idx="15">
                        <c:v>33766.073243966122</c:v>
                      </c:pt>
                      <c:pt idx="16">
                        <c:v>33766.073243966122</c:v>
                      </c:pt>
                      <c:pt idx="17">
                        <c:v>33766.073243966122</c:v>
                      </c:pt>
                      <c:pt idx="18">
                        <c:v>33766.073243966122</c:v>
                      </c:pt>
                      <c:pt idx="19">
                        <c:v>33766.073243966122</c:v>
                      </c:pt>
                      <c:pt idx="20">
                        <c:v>33766.073243966122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42AE-4649-A9BA-9A30622EAB3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[1]FinaIndikatori!$A$40</c15:sqref>
                        </c15:formulaRef>
                      </c:ext>
                    </c:extLst>
                    <c:strCache>
                      <c:ptCount val="1"/>
                      <c:pt idx="0">
                        <c:v>Kumulativni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[1]FinaIndikatori!$E$40:$Y$40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-236362.74727977073</c:v>
                      </c:pt>
                      <c:pt idx="2">
                        <c:v>-229942.08532896871</c:v>
                      </c:pt>
                      <c:pt idx="3">
                        <c:v>-223764.00503992522</c:v>
                      </c:pt>
                      <c:pt idx="4">
                        <c:v>-217857.6162120513</c:v>
                      </c:pt>
                      <c:pt idx="5">
                        <c:v>-212255.52182068728</c:v>
                      </c:pt>
                      <c:pt idx="6">
                        <c:v>-206994.23719821437</c:v>
                      </c:pt>
                      <c:pt idx="7">
                        <c:v>-202114.65951689947</c:v>
                      </c:pt>
                      <c:pt idx="8">
                        <c:v>-197662.59360968156</c:v>
                      </c:pt>
                      <c:pt idx="9">
                        <c:v>-163896.52036571543</c:v>
                      </c:pt>
                      <c:pt idx="10">
                        <c:v>-130130.44712174931</c:v>
                      </c:pt>
                      <c:pt idx="11">
                        <c:v>-96364.37387778319</c:v>
                      </c:pt>
                      <c:pt idx="12">
                        <c:v>-62598.300633817067</c:v>
                      </c:pt>
                      <c:pt idx="13">
                        <c:v>-28832.227389850945</c:v>
                      </c:pt>
                      <c:pt idx="14">
                        <c:v>4933.8458541151776</c:v>
                      </c:pt>
                      <c:pt idx="15">
                        <c:v>38699.9190980813</c:v>
                      </c:pt>
                      <c:pt idx="16">
                        <c:v>72465.992342047422</c:v>
                      </c:pt>
                      <c:pt idx="17">
                        <c:v>106232.06558601354</c:v>
                      </c:pt>
                      <c:pt idx="18">
                        <c:v>139998.13882997967</c:v>
                      </c:pt>
                      <c:pt idx="19">
                        <c:v>173764.21207394579</c:v>
                      </c:pt>
                      <c:pt idx="20">
                        <c:v>207530.28531791191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2AE-4649-A9BA-9A30622EAB33}"/>
                  </c:ext>
                </c:extLst>
              </c15:ser>
            </c15:filteredLineSeries>
          </c:ext>
        </c:extLst>
      </c:lineChart>
      <c:catAx>
        <c:axId val="69351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843136"/>
        <c:crosses val="autoZero"/>
        <c:auto val="1"/>
        <c:lblAlgn val="ctr"/>
        <c:lblOffset val="100"/>
        <c:noMultiLvlLbl val="0"/>
      </c:catAx>
      <c:valAx>
        <c:axId val="68843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51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L$21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5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4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104775</xdr:rowOff>
    </xdr:from>
    <xdr:to>
      <xdr:col>2</xdr:col>
      <xdr:colOff>219875</xdr:colOff>
      <xdr:row>14</xdr:row>
      <xdr:rowOff>113953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477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95250</xdr:rowOff>
    </xdr:from>
    <xdr:to>
      <xdr:col>11</xdr:col>
      <xdr:colOff>524675</xdr:colOff>
      <xdr:row>8</xdr:row>
      <xdr:rowOff>104428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96100" y="952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07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33</xdr:row>
      <xdr:rowOff>0</xdr:rowOff>
    </xdr:from>
    <xdr:to>
      <xdr:col>2</xdr:col>
      <xdr:colOff>524675</xdr:colOff>
      <xdr:row>35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18669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60325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190500"/>
          <a:ext cx="579120" cy="598170"/>
        </a:xfrm>
        <a:prstGeom prst="rect">
          <a:avLst/>
        </a:prstGeom>
        <a:noFill/>
      </xdr:spPr>
    </xdr:pic>
    <xdr:clientData/>
  </xdr:twoCellAnchor>
  <xdr:twoCellAnchor>
    <xdr:from>
      <xdr:col>9</xdr:col>
      <xdr:colOff>42862</xdr:colOff>
      <xdr:row>14</xdr:row>
      <xdr:rowOff>128585</xdr:rowOff>
    </xdr:from>
    <xdr:to>
      <xdr:col>17</xdr:col>
      <xdr:colOff>57150</xdr:colOff>
      <xdr:row>31</xdr:row>
      <xdr:rowOff>142874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xmlns="" id="{00000000-0008-0000-0A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0</xdr:rowOff>
    </xdr:from>
    <xdr:to>
      <xdr:col>11</xdr:col>
      <xdr:colOff>524675</xdr:colOff>
      <xdr:row>8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62775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4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0</xdr:rowOff>
    </xdr:from>
    <xdr:to>
      <xdr:col>16</xdr:col>
      <xdr:colOff>561975</xdr:colOff>
      <xdr:row>29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85725</xdr:colOff>
      <xdr:row>10</xdr:row>
      <xdr:rowOff>0</xdr:rowOff>
    </xdr:from>
    <xdr:to>
      <xdr:col>2</xdr:col>
      <xdr:colOff>524675</xdr:colOff>
      <xdr:row>12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4925" y="762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534200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6212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600075</xdr:colOff>
      <xdr:row>0</xdr:row>
      <xdr:rowOff>161925</xdr:rowOff>
    </xdr:from>
    <xdr:to>
      <xdr:col>8</xdr:col>
      <xdr:colOff>569595</xdr:colOff>
      <xdr:row>3</xdr:row>
      <xdr:rowOff>169545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619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12</xdr:row>
      <xdr:rowOff>114300</xdr:rowOff>
    </xdr:from>
    <xdr:to>
      <xdr:col>15</xdr:col>
      <xdr:colOff>219875</xdr:colOff>
      <xdr:row>14</xdr:row>
      <xdr:rowOff>123478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982325" y="14478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20</xdr:row>
          <xdr:rowOff>9525</xdr:rowOff>
        </xdr:from>
        <xdr:to>
          <xdr:col>9</xdr:col>
          <xdr:colOff>923925</xdr:colOff>
          <xdr:row>21</xdr:row>
          <xdr:rowOff>9525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xdr:twoCellAnchor editAs="oneCell">
    <xdr:from>
      <xdr:col>15</xdr:col>
      <xdr:colOff>95250</xdr:colOff>
      <xdr:row>11</xdr:row>
      <xdr:rowOff>19050</xdr:rowOff>
    </xdr:from>
    <xdr:to>
      <xdr:col>15</xdr:col>
      <xdr:colOff>534200</xdr:colOff>
      <xdr:row>12</xdr:row>
      <xdr:rowOff>190153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20100" y="12382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12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11</xdr:row>
      <xdr:rowOff>19050</xdr:rowOff>
    </xdr:from>
    <xdr:to>
      <xdr:col>10</xdr:col>
      <xdr:colOff>534200</xdr:colOff>
      <xdr:row>13</xdr:row>
      <xdr:rowOff>28228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1200" y="12382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98653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12940" y="1185862"/>
          <a:ext cx="438950" cy="394941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05844" cy="91871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190500"/>
          <a:ext cx="579120" cy="593407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13</xdr:row>
      <xdr:rowOff>0</xdr:rowOff>
    </xdr:from>
    <xdr:to>
      <xdr:col>2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333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otao%20na%20biomas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cetna"/>
      <sheetName val="KonvFaktor"/>
      <sheetName val="PomTab1"/>
      <sheetName val="UnosPodataka"/>
      <sheetName val="TrosakEnergije"/>
      <sheetName val="Anuiteti"/>
      <sheetName val="FinaIndikatori"/>
      <sheetName val="FinInd+CO2"/>
      <sheetName val="GrafFina"/>
      <sheetName val="Graf+CO2"/>
      <sheetName val="LCoEE"/>
      <sheetName val="Osetljivost"/>
      <sheetName val="AkoESCO"/>
      <sheetName val="ESCOGrafFina"/>
      <sheetName val="REZIME"/>
      <sheetName val="Gorivo"/>
    </sheetNames>
    <sheetDataSet>
      <sheetData sheetId="0"/>
      <sheetData sheetId="1"/>
      <sheetData sheetId="2"/>
      <sheetData sheetId="3"/>
      <sheetData sheetId="4"/>
      <sheetData sheetId="5"/>
      <sheetData sheetId="6">
        <row r="37">
          <cell r="A37" t="str">
            <v>Dobit nakon oporezivanja (EUR/a)</v>
          </cell>
          <cell r="F37">
            <v>6520.0732439661178</v>
          </cell>
          <cell r="G37">
            <v>7747.4209373872764</v>
          </cell>
          <cell r="H37">
            <v>9122.0503540189729</v>
          </cell>
          <cell r="I37">
            <v>10661.635300646474</v>
          </cell>
          <cell r="J37">
            <v>12385.970440869276</v>
          </cell>
          <cell r="K37">
            <v>14317.225797918811</v>
          </cell>
          <cell r="L37">
            <v>16480.231797814289</v>
          </cell>
          <cell r="M37">
            <v>18902.798517697232</v>
          </cell>
          <cell r="N37">
            <v>21616.073243966122</v>
          </cell>
          <cell r="O37">
            <v>21616.073243966122</v>
          </cell>
          <cell r="P37">
            <v>21616.073243966122</v>
          </cell>
          <cell r="Q37">
            <v>21616.073243966122</v>
          </cell>
          <cell r="R37">
            <v>21616.073243966122</v>
          </cell>
          <cell r="S37">
            <v>21616.073243966122</v>
          </cell>
          <cell r="T37">
            <v>21616.073243966122</v>
          </cell>
          <cell r="U37">
            <v>21616.073243966122</v>
          </cell>
          <cell r="V37">
            <v>21616.073243966122</v>
          </cell>
          <cell r="W37">
            <v>21616.073243966122</v>
          </cell>
          <cell r="X37">
            <v>21616.073243966122</v>
          </cell>
          <cell r="Y37">
            <v>21616.073243966122</v>
          </cell>
        </row>
        <row r="39">
          <cell r="A39" t="str">
            <v>Neto gotovinski tok</v>
          </cell>
          <cell r="E39">
            <v>-243000</v>
          </cell>
          <cell r="F39">
            <v>6637.2527202292758</v>
          </cell>
          <cell r="G39">
            <v>6420.6619508020121</v>
          </cell>
          <cell r="H39">
            <v>6178.080289043477</v>
          </cell>
          <cell r="I39">
            <v>5906.3888278739178</v>
          </cell>
          <cell r="J39">
            <v>5602.0943913640131</v>
          </cell>
          <cell r="K39">
            <v>5261.2846224729183</v>
          </cell>
          <cell r="L39">
            <v>4879.5776813148914</v>
          </cell>
          <cell r="M39">
            <v>4452.0659072179042</v>
          </cell>
          <cell r="N39">
            <v>33766.073243966122</v>
          </cell>
          <cell r="O39">
            <v>33766.073243966122</v>
          </cell>
          <cell r="P39">
            <v>33766.073243966122</v>
          </cell>
          <cell r="Q39">
            <v>33766.073243966122</v>
          </cell>
          <cell r="R39">
            <v>33766.073243966122</v>
          </cell>
          <cell r="S39">
            <v>33766.073243966122</v>
          </cell>
          <cell r="T39">
            <v>33766.073243966122</v>
          </cell>
          <cell r="U39">
            <v>33766.073243966122</v>
          </cell>
          <cell r="V39">
            <v>33766.073243966122</v>
          </cell>
          <cell r="W39">
            <v>33766.073243966122</v>
          </cell>
          <cell r="X39">
            <v>33766.073243966122</v>
          </cell>
          <cell r="Y39">
            <v>33766.073243966122</v>
          </cell>
        </row>
        <row r="40">
          <cell r="A40" t="str">
            <v>Kumulativni gotovinski tok</v>
          </cell>
          <cell r="E40">
            <v>-243000</v>
          </cell>
          <cell r="F40">
            <v>-236362.74727977073</v>
          </cell>
          <cell r="G40">
            <v>-229942.08532896871</v>
          </cell>
          <cell r="H40">
            <v>-223764.00503992522</v>
          </cell>
          <cell r="I40">
            <v>-217857.6162120513</v>
          </cell>
          <cell r="J40">
            <v>-212255.52182068728</v>
          </cell>
          <cell r="K40">
            <v>-206994.23719821437</v>
          </cell>
          <cell r="L40">
            <v>-202114.65951689947</v>
          </cell>
          <cell r="M40">
            <v>-197662.59360968156</v>
          </cell>
          <cell r="N40">
            <v>-163896.52036571543</v>
          </cell>
          <cell r="O40">
            <v>-130130.44712174931</v>
          </cell>
          <cell r="P40">
            <v>-96364.37387778319</v>
          </cell>
          <cell r="Q40">
            <v>-62598.300633817067</v>
          </cell>
          <cell r="R40">
            <v>-28832.227389850945</v>
          </cell>
          <cell r="S40">
            <v>4933.8458541151776</v>
          </cell>
          <cell r="T40">
            <v>38699.9190980813</v>
          </cell>
          <cell r="U40">
            <v>72465.992342047422</v>
          </cell>
          <cell r="V40">
            <v>106232.06558601354</v>
          </cell>
          <cell r="W40">
            <v>139998.13882997967</v>
          </cell>
          <cell r="X40">
            <v>173764.21207394579</v>
          </cell>
          <cell r="Y40">
            <v>207530.28531791191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R24"/>
  <sheetViews>
    <sheetView workbookViewId="0">
      <selection activeCell="N28" sqref="N28"/>
    </sheetView>
    <sheetView workbookViewId="1">
      <selection activeCell="F3" sqref="F3:I3"/>
    </sheetView>
  </sheetViews>
  <sheetFormatPr defaultRowHeight="15" x14ac:dyDescent="0.25"/>
  <sheetData>
    <row r="3" spans="2:18" ht="16.5" x14ac:dyDescent="0.35">
      <c r="F3" s="56" t="s">
        <v>147</v>
      </c>
      <c r="G3" s="56"/>
      <c r="H3" s="56"/>
      <c r="I3" s="56"/>
    </row>
    <row r="7" spans="2:18" x14ac:dyDescent="0.25">
      <c r="B7" s="57" t="s">
        <v>0</v>
      </c>
      <c r="C7" s="57"/>
      <c r="D7" s="57"/>
      <c r="E7" s="57"/>
      <c r="F7" s="57"/>
      <c r="G7" s="57"/>
      <c r="H7" s="57"/>
      <c r="I7" s="57"/>
      <c r="J7" s="57"/>
      <c r="K7" s="57"/>
    </row>
    <row r="8" spans="2:18" x14ac:dyDescent="0.25">
      <c r="B8" s="57"/>
      <c r="C8" s="57"/>
      <c r="D8" s="57"/>
      <c r="E8" s="57"/>
      <c r="F8" s="57"/>
      <c r="G8" s="57"/>
      <c r="H8" s="57"/>
      <c r="I8" s="57"/>
      <c r="J8" s="57"/>
      <c r="K8" s="57"/>
    </row>
    <row r="9" spans="2:18" x14ac:dyDescent="0.25">
      <c r="B9" s="57"/>
      <c r="C9" s="57"/>
      <c r="D9" s="57"/>
      <c r="E9" s="57"/>
      <c r="F9" s="57"/>
      <c r="G9" s="57"/>
      <c r="H9" s="57"/>
      <c r="I9" s="57"/>
      <c r="J9" s="57"/>
      <c r="K9" s="57"/>
      <c r="M9" s="58" t="s">
        <v>2</v>
      </c>
      <c r="N9" s="58"/>
      <c r="O9" s="58"/>
      <c r="P9" s="58"/>
      <c r="Q9" s="58"/>
      <c r="R9" s="58"/>
    </row>
    <row r="10" spans="2:18" x14ac:dyDescent="0.25">
      <c r="B10" s="57"/>
      <c r="C10" s="57"/>
      <c r="D10" s="57"/>
      <c r="E10" s="57"/>
      <c r="F10" s="57"/>
      <c r="G10" s="57"/>
      <c r="H10" s="57"/>
      <c r="I10" s="57"/>
      <c r="J10" s="57"/>
      <c r="K10" s="57"/>
      <c r="M10" s="58"/>
      <c r="N10" s="58"/>
      <c r="O10" s="58"/>
      <c r="P10" s="58"/>
      <c r="Q10" s="58"/>
      <c r="R10" s="58"/>
    </row>
    <row r="11" spans="2:18" x14ac:dyDescent="0.25">
      <c r="B11" s="57"/>
      <c r="C11" s="57"/>
      <c r="D11" s="57"/>
      <c r="E11" s="57"/>
      <c r="F11" s="57"/>
      <c r="G11" s="57"/>
      <c r="H11" s="57"/>
      <c r="I11" s="57"/>
      <c r="J11" s="57"/>
      <c r="K11" s="57"/>
    </row>
    <row r="12" spans="2:18" x14ac:dyDescent="0.25">
      <c r="B12" s="57"/>
      <c r="C12" s="57"/>
      <c r="D12" s="57"/>
      <c r="E12" s="57"/>
      <c r="F12" s="57"/>
      <c r="G12" s="57"/>
      <c r="H12" s="57"/>
      <c r="I12" s="57"/>
      <c r="J12" s="57"/>
      <c r="K12" s="57"/>
      <c r="M12" s="59" t="s">
        <v>43</v>
      </c>
      <c r="N12" s="59"/>
      <c r="O12" s="59"/>
      <c r="P12" s="59"/>
      <c r="Q12" s="59"/>
      <c r="R12" s="59"/>
    </row>
    <row r="13" spans="2:18" x14ac:dyDescent="0.25">
      <c r="B13" s="57"/>
      <c r="C13" s="57"/>
      <c r="D13" s="57"/>
      <c r="E13" s="57"/>
      <c r="F13" s="57"/>
      <c r="G13" s="57"/>
      <c r="H13" s="57"/>
      <c r="I13" s="57"/>
      <c r="J13" s="57"/>
      <c r="K13" s="57"/>
    </row>
    <row r="14" spans="2:18" x14ac:dyDescent="0.25">
      <c r="B14" s="57"/>
      <c r="C14" s="57"/>
      <c r="D14" s="57"/>
      <c r="E14" s="57"/>
      <c r="F14" s="57"/>
      <c r="G14" s="57"/>
      <c r="H14" s="57"/>
      <c r="I14" s="57"/>
      <c r="J14" s="57"/>
      <c r="K14" s="57"/>
      <c r="M14" s="60" t="s">
        <v>130</v>
      </c>
      <c r="N14" s="60"/>
      <c r="Q14" s="61" t="s">
        <v>131</v>
      </c>
      <c r="R14" s="61"/>
    </row>
    <row r="15" spans="2:18" x14ac:dyDescent="0.25">
      <c r="B15" s="57"/>
      <c r="C15" s="57"/>
      <c r="D15" s="57"/>
      <c r="E15" s="57"/>
      <c r="F15" s="57"/>
      <c r="G15" s="57"/>
      <c r="H15" s="57"/>
      <c r="I15" s="57"/>
      <c r="J15" s="57"/>
      <c r="K15" s="57"/>
      <c r="M15" s="60"/>
      <c r="N15" s="60"/>
      <c r="Q15" s="61"/>
      <c r="R15" s="61"/>
    </row>
    <row r="16" spans="2:18" x14ac:dyDescent="0.25">
      <c r="B16" s="57"/>
      <c r="C16" s="57"/>
      <c r="D16" s="57"/>
      <c r="E16" s="57"/>
      <c r="F16" s="57"/>
      <c r="G16" s="57"/>
      <c r="H16" s="57"/>
      <c r="I16" s="57"/>
      <c r="J16" s="57"/>
      <c r="K16" s="57"/>
    </row>
    <row r="17" spans="2:11" x14ac:dyDescent="0.25">
      <c r="B17" s="57"/>
      <c r="C17" s="57"/>
      <c r="D17" s="57"/>
      <c r="E17" s="57"/>
      <c r="F17" s="57"/>
      <c r="G17" s="57"/>
      <c r="H17" s="57"/>
      <c r="I17" s="57"/>
      <c r="J17" s="57"/>
      <c r="K17" s="57"/>
    </row>
    <row r="18" spans="2:11" x14ac:dyDescent="0.25">
      <c r="B18" s="57"/>
      <c r="C18" s="57"/>
      <c r="D18" s="57"/>
      <c r="E18" s="57"/>
      <c r="F18" s="57"/>
      <c r="G18" s="57"/>
      <c r="H18" s="57"/>
      <c r="I18" s="57"/>
      <c r="J18" s="57"/>
      <c r="K18" s="57"/>
    </row>
    <row r="19" spans="2:11" x14ac:dyDescent="0.25">
      <c r="B19" s="57"/>
      <c r="C19" s="57"/>
      <c r="D19" s="57"/>
      <c r="E19" s="57"/>
      <c r="F19" s="57"/>
      <c r="G19" s="57"/>
      <c r="H19" s="57"/>
      <c r="I19" s="57"/>
      <c r="J19" s="57"/>
      <c r="K19" s="57"/>
    </row>
    <row r="20" spans="2:11" x14ac:dyDescent="0.25">
      <c r="B20" s="57"/>
      <c r="C20" s="57"/>
      <c r="D20" s="57"/>
      <c r="E20" s="57"/>
      <c r="F20" s="57"/>
      <c r="G20" s="57"/>
      <c r="H20" s="57"/>
      <c r="I20" s="57"/>
      <c r="J20" s="57"/>
      <c r="K20" s="57"/>
    </row>
    <row r="21" spans="2:11" x14ac:dyDescent="0.25">
      <c r="B21" s="57"/>
      <c r="C21" s="57"/>
      <c r="D21" s="57"/>
      <c r="E21" s="57"/>
      <c r="F21" s="57"/>
      <c r="G21" s="57"/>
      <c r="H21" s="57"/>
      <c r="I21" s="57"/>
      <c r="J21" s="57"/>
      <c r="K21" s="57"/>
    </row>
    <row r="22" spans="2:11" x14ac:dyDescent="0.25">
      <c r="B22" s="57"/>
      <c r="C22" s="57"/>
      <c r="D22" s="57"/>
      <c r="E22" s="57"/>
      <c r="F22" s="57"/>
      <c r="G22" s="57"/>
      <c r="H22" s="57"/>
      <c r="I22" s="57"/>
      <c r="J22" s="57"/>
      <c r="K22" s="57"/>
    </row>
    <row r="23" spans="2:11" x14ac:dyDescent="0.25">
      <c r="B23" s="57"/>
      <c r="C23" s="57"/>
      <c r="D23" s="57"/>
      <c r="E23" s="57"/>
      <c r="F23" s="57"/>
      <c r="G23" s="57"/>
      <c r="H23" s="57"/>
      <c r="I23" s="57"/>
      <c r="J23" s="57"/>
      <c r="K23" s="57"/>
    </row>
    <row r="24" spans="2:11" x14ac:dyDescent="0.25">
      <c r="B24" s="57"/>
      <c r="C24" s="57"/>
      <c r="D24" s="57"/>
      <c r="E24" s="57"/>
      <c r="F24" s="57"/>
      <c r="G24" s="57"/>
      <c r="H24" s="57"/>
      <c r="I24" s="57"/>
      <c r="J24" s="57"/>
      <c r="K24" s="57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/>
    <hyperlink ref="Q14:R15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PomTab1!$C$7:$C$24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B30" sqref="B29:B30"/>
    </sheetView>
    <sheetView workbookViewId="1"/>
  </sheetViews>
  <sheetFormatPr defaultRowHeight="15" x14ac:dyDescent="0.25"/>
  <sheetData>
    <row r="3" spans="1:9" ht="16.5" x14ac:dyDescent="0.35">
      <c r="F3" s="56" t="s">
        <v>147</v>
      </c>
      <c r="G3" s="56"/>
      <c r="H3" s="56"/>
      <c r="I3" s="56"/>
    </row>
    <row r="7" spans="1:9" ht="15" customHeight="1" x14ac:dyDescent="0.25">
      <c r="A7" s="58" t="s">
        <v>107</v>
      </c>
      <c r="B7" s="58"/>
      <c r="C7" s="58"/>
      <c r="D7" s="58"/>
    </row>
    <row r="8" spans="1:9" ht="15" customHeight="1" x14ac:dyDescent="0.25">
      <c r="A8" s="58"/>
      <c r="B8" s="58"/>
      <c r="C8" s="58"/>
      <c r="D8" s="58"/>
    </row>
    <row r="9" spans="1:9" x14ac:dyDescent="0.25">
      <c r="A9" s="58"/>
      <c r="B9" s="58"/>
      <c r="C9" s="58"/>
      <c r="D9" s="58"/>
    </row>
    <row r="11" spans="1:9" x14ac:dyDescent="0.25">
      <c r="A11" s="60" t="s">
        <v>130</v>
      </c>
      <c r="B11" s="60"/>
      <c r="C11" s="61" t="s">
        <v>131</v>
      </c>
      <c r="D11" s="61"/>
    </row>
    <row r="12" spans="1:9" x14ac:dyDescent="0.25">
      <c r="A12" s="60"/>
      <c r="B12" s="60"/>
      <c r="C12" s="61"/>
      <c r="D12" s="61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f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B21"/>
  <sheetViews>
    <sheetView workbookViewId="0">
      <selection activeCell="F19" sqref="F19"/>
    </sheetView>
    <sheetView workbookViewId="1"/>
  </sheetViews>
  <sheetFormatPr defaultRowHeight="15" x14ac:dyDescent="0.25"/>
  <cols>
    <col min="6" max="6" width="10.7109375" customWidth="1"/>
  </cols>
  <sheetData>
    <row r="3" spans="1:28" ht="16.5" x14ac:dyDescent="0.35">
      <c r="F3" s="56" t="s">
        <v>147</v>
      </c>
      <c r="G3" s="56"/>
      <c r="H3" s="56"/>
      <c r="I3" s="56"/>
    </row>
    <row r="7" spans="1:28" x14ac:dyDescent="0.25">
      <c r="A7" s="75" t="s">
        <v>108</v>
      </c>
      <c r="B7" s="75"/>
      <c r="C7" s="75"/>
      <c r="D7" s="75"/>
      <c r="I7" s="60" t="s">
        <v>130</v>
      </c>
      <c r="J7" s="60"/>
      <c r="N7" s="61" t="s">
        <v>131</v>
      </c>
      <c r="O7" s="61"/>
    </row>
    <row r="8" spans="1:28" x14ac:dyDescent="0.25">
      <c r="A8" s="75"/>
      <c r="B8" s="75"/>
      <c r="C8" s="75"/>
      <c r="D8" s="75"/>
      <c r="I8" s="60"/>
      <c r="J8" s="60"/>
      <c r="N8" s="61"/>
      <c r="O8" s="61"/>
    </row>
    <row r="10" spans="1:28" x14ac:dyDescent="0.25">
      <c r="A10" s="65" t="s">
        <v>102</v>
      </c>
      <c r="B10" s="65"/>
      <c r="C10" s="65"/>
      <c r="D10" s="65"/>
      <c r="E10" s="17"/>
      <c r="F10" s="17">
        <f>IF(E10&lt;UnosPodataka!$M$25,E10+1,"")</f>
        <v>1</v>
      </c>
      <c r="G10" s="17">
        <f>IF(F10&lt;UnosPodataka!$M$25,F10+1,"")</f>
        <v>2</v>
      </c>
      <c r="H10" s="17">
        <f>IF(G10&lt;UnosPodataka!$M$25,G10+1,"")</f>
        <v>3</v>
      </c>
      <c r="I10" s="17">
        <f>IF(H10&lt;UnosPodataka!$M$25,H10+1,"")</f>
        <v>4</v>
      </c>
      <c r="J10" s="17">
        <f>IF(I10&lt;UnosPodataka!$M$25,I10+1,"")</f>
        <v>5</v>
      </c>
      <c r="K10" s="17">
        <f>IF(J10&lt;UnosPodataka!$M$25,J10+1,"")</f>
        <v>6</v>
      </c>
      <c r="L10" s="17">
        <f>IF(K10&lt;UnosPodataka!$M$25,K10+1,"")</f>
        <v>7</v>
      </c>
      <c r="M10" s="17">
        <f>IF(L10&lt;UnosPodataka!$M$25,L10+1,"")</f>
        <v>8</v>
      </c>
      <c r="N10" s="17">
        <f>IF(M10&lt;UnosPodataka!$M$25,M10+1,"")</f>
        <v>9</v>
      </c>
      <c r="O10" s="17">
        <f>IF(N10&lt;UnosPodataka!$M$25,N10+1,"")</f>
        <v>10</v>
      </c>
      <c r="P10" s="17">
        <f>IF(O10&lt;UnosPodataka!$M$25,O10+1,"")</f>
        <v>11</v>
      </c>
      <c r="Q10" s="17">
        <f>IF(P10&lt;UnosPodataka!$M$25,P10+1,"")</f>
        <v>12</v>
      </c>
      <c r="R10" s="17">
        <f>IF(Q10&lt;UnosPodataka!$M$25,Q10+1,"")</f>
        <v>13</v>
      </c>
      <c r="S10" s="17">
        <f>IF(R10&lt;UnosPodataka!$M$25,R10+1,"")</f>
        <v>14</v>
      </c>
      <c r="T10" s="17">
        <f>IF(S10&lt;UnosPodataka!$M$25,S10+1,"")</f>
        <v>15</v>
      </c>
      <c r="U10" s="17">
        <f>IF(T10&lt;UnosPodataka!$M$25,T10+1,"")</f>
        <v>16</v>
      </c>
      <c r="V10" s="17">
        <f>IF(U10&lt;UnosPodataka!$M$25,U10+1,"")</f>
        <v>17</v>
      </c>
      <c r="W10" s="17">
        <f>IF(V10&lt;UnosPodataka!$M$25,V10+1,"")</f>
        <v>18</v>
      </c>
      <c r="X10" s="17">
        <f>IF(W10&lt;UnosPodataka!$M$25,W10+1,"")</f>
        <v>19</v>
      </c>
      <c r="Y10" s="17">
        <f>IF(X10&lt;UnosPodataka!$M$25,X10+1,"")</f>
        <v>20</v>
      </c>
      <c r="Z10" s="18"/>
      <c r="AA10" s="18"/>
      <c r="AB10" s="18"/>
    </row>
    <row r="12" spans="1:28" x14ac:dyDescent="0.25">
      <c r="A12" s="66" t="s">
        <v>109</v>
      </c>
      <c r="B12" s="66"/>
      <c r="C12" s="66"/>
      <c r="D12" s="66"/>
      <c r="E12" s="3"/>
      <c r="F12" s="3">
        <f>Investment</f>
        <v>41300</v>
      </c>
    </row>
    <row r="13" spans="1:28" x14ac:dyDescent="0.25">
      <c r="A13" s="66" t="s">
        <v>110</v>
      </c>
      <c r="B13" s="66"/>
      <c r="C13" s="66"/>
      <c r="D13" s="66"/>
      <c r="F13" s="3">
        <f>IF(F10&lt;&gt;"",-(FinaIndikatori!F29+FinaIndikatori!F34),"")</f>
        <v>9253.2692874888126</v>
      </c>
      <c r="G13" s="3">
        <f>IF(G10&lt;&gt;"",-(FinaIndikatori!G29+FinaIndikatori!G34),"")</f>
        <v>9253.2692874888126</v>
      </c>
      <c r="H13" s="3">
        <f>IF(H10&lt;&gt;"",-(FinaIndikatori!H29+FinaIndikatori!H34),"")</f>
        <v>9253.2692874888126</v>
      </c>
      <c r="I13" s="3">
        <f>IF(I10&lt;&gt;"",-(FinaIndikatori!I29+FinaIndikatori!I34),"")</f>
        <v>9253.2692874888126</v>
      </c>
      <c r="J13" s="3">
        <f>IF(J10&lt;&gt;"",-(FinaIndikatori!J29+FinaIndikatori!J34),"")</f>
        <v>9253.2692874888126</v>
      </c>
      <c r="K13" s="3">
        <f>IF(K10&lt;&gt;"",-(FinaIndikatori!K29+FinaIndikatori!K34),"")</f>
        <v>6395.9490484960097</v>
      </c>
      <c r="L13" s="3">
        <f>IF(L10&lt;&gt;"",-(FinaIndikatori!L29+FinaIndikatori!L34),"")</f>
        <v>6395.9490484960097</v>
      </c>
      <c r="M13" s="3">
        <f>IF(M10&lt;&gt;"",-(FinaIndikatori!M29+FinaIndikatori!M34),"")</f>
        <v>6395.9490484960097</v>
      </c>
      <c r="N13" s="3">
        <f>IF(N10&lt;&gt;"",-(FinaIndikatori!N29+FinaIndikatori!N34),"")</f>
        <v>6395.9490484960097</v>
      </c>
      <c r="O13" s="3">
        <f>IF(O10&lt;&gt;"",-(FinaIndikatori!O29+FinaIndikatori!O34),"")</f>
        <v>6395.9490484960097</v>
      </c>
      <c r="P13" s="3">
        <f>IF(P10&lt;&gt;"",-(FinaIndikatori!P29+FinaIndikatori!P34),"")</f>
        <v>6395.9490484960097</v>
      </c>
      <c r="Q13" s="3">
        <f>IF(Q10&lt;&gt;"",-(FinaIndikatori!Q29+FinaIndikatori!Q34),"")</f>
        <v>6395.9490484960097</v>
      </c>
      <c r="R13" s="3">
        <f>IF(R10&lt;&gt;"",-(FinaIndikatori!R29+FinaIndikatori!R34),"")</f>
        <v>6395.9490484960097</v>
      </c>
      <c r="S13" s="3">
        <f>IF(S10&lt;&gt;"",-(FinaIndikatori!S29+FinaIndikatori!S34),"")</f>
        <v>6395.9490484960097</v>
      </c>
      <c r="T13" s="3">
        <f>IF(T10&lt;&gt;"",-(FinaIndikatori!T29+FinaIndikatori!T34),"")</f>
        <v>6395.9490484960097</v>
      </c>
      <c r="U13" s="3">
        <f>IF(U10&lt;&gt;"",-(FinaIndikatori!U29+FinaIndikatori!U34),"")</f>
        <v>6395.9490484960097</v>
      </c>
      <c r="V13" s="3">
        <f>IF(V10&lt;&gt;"",-(FinaIndikatori!V29+FinaIndikatori!V34),"")</f>
        <v>6395.9490484960097</v>
      </c>
      <c r="W13" s="3">
        <f>IF(W10&lt;&gt;"",-(FinaIndikatori!W29+FinaIndikatori!W34),"")</f>
        <v>6395.9490484960097</v>
      </c>
      <c r="X13" s="3">
        <f>IF(X10&lt;&gt;"",-(FinaIndikatori!X29+FinaIndikatori!X34),"")</f>
        <v>6395.9490484960097</v>
      </c>
      <c r="Y13" s="3">
        <f>IF(Y10&lt;&gt;"",-(FinaIndikatori!Y29+FinaIndikatori!Y34),"")</f>
        <v>6395.9490484960097</v>
      </c>
    </row>
    <row r="14" spans="1:28" x14ac:dyDescent="0.25">
      <c r="A14" s="66" t="s">
        <v>111</v>
      </c>
      <c r="B14" s="66"/>
      <c r="C14" s="66"/>
      <c r="D14" s="66"/>
      <c r="E14" s="3"/>
      <c r="F14" s="3">
        <f t="shared" ref="F14:Y14" si="0">IF(F10&lt;&gt;"",F12+F13,"")</f>
        <v>50553.269287488816</v>
      </c>
      <c r="G14" s="3">
        <f t="shared" si="0"/>
        <v>9253.2692874888126</v>
      </c>
      <c r="H14" s="3">
        <f t="shared" si="0"/>
        <v>9253.2692874888126</v>
      </c>
      <c r="I14" s="3">
        <f t="shared" si="0"/>
        <v>9253.2692874888126</v>
      </c>
      <c r="J14" s="3">
        <f t="shared" si="0"/>
        <v>9253.2692874888126</v>
      </c>
      <c r="K14" s="3">
        <f t="shared" si="0"/>
        <v>6395.9490484960097</v>
      </c>
      <c r="L14" s="3">
        <f t="shared" si="0"/>
        <v>6395.9490484960097</v>
      </c>
      <c r="M14" s="3">
        <f t="shared" si="0"/>
        <v>6395.9490484960097</v>
      </c>
      <c r="N14" s="3">
        <f t="shared" si="0"/>
        <v>6395.9490484960097</v>
      </c>
      <c r="O14" s="3">
        <f t="shared" si="0"/>
        <v>6395.9490484960097</v>
      </c>
      <c r="P14" s="3">
        <f t="shared" si="0"/>
        <v>6395.9490484960097</v>
      </c>
      <c r="Q14" s="3">
        <f t="shared" si="0"/>
        <v>6395.9490484960097</v>
      </c>
      <c r="R14" s="3">
        <f t="shared" si="0"/>
        <v>6395.9490484960097</v>
      </c>
      <c r="S14" s="3">
        <f t="shared" si="0"/>
        <v>6395.9490484960097</v>
      </c>
      <c r="T14" s="3">
        <f t="shared" si="0"/>
        <v>6395.9490484960097</v>
      </c>
      <c r="U14" s="3">
        <f t="shared" si="0"/>
        <v>6395.9490484960097</v>
      </c>
      <c r="V14" s="3">
        <f t="shared" si="0"/>
        <v>6395.9490484960097</v>
      </c>
      <c r="W14" s="3">
        <f t="shared" si="0"/>
        <v>6395.9490484960097</v>
      </c>
      <c r="X14" s="3">
        <f t="shared" si="0"/>
        <v>6395.9490484960097</v>
      </c>
      <c r="Y14" s="3">
        <f t="shared" si="0"/>
        <v>6395.9490484960097</v>
      </c>
    </row>
    <row r="15" spans="1:28" x14ac:dyDescent="0.25">
      <c r="A15" s="71"/>
      <c r="B15" s="71"/>
      <c r="C15" s="71"/>
      <c r="D15" s="71"/>
    </row>
    <row r="16" spans="1:28" x14ac:dyDescent="0.25">
      <c r="A16" s="66" t="s">
        <v>89</v>
      </c>
      <c r="B16" s="66"/>
      <c r="C16" s="66"/>
      <c r="D16" s="66"/>
      <c r="F16" s="3">
        <f>IF(F10&lt;&gt;"",FinaIndikatori!F14,"")</f>
        <v>75.908319999999989</v>
      </c>
      <c r="G16" s="3">
        <f>IF(G10&lt;&gt;"",FinaIndikatori!G14,"")</f>
        <v>75.908319999999989</v>
      </c>
      <c r="H16" s="3">
        <f>IF(H10&lt;&gt;"",FinaIndikatori!H14,"")</f>
        <v>75.908319999999989</v>
      </c>
      <c r="I16" s="3">
        <f>IF(I10&lt;&gt;"",FinaIndikatori!I14,"")</f>
        <v>75.908319999999989</v>
      </c>
      <c r="J16" s="3">
        <f>IF(J10&lt;&gt;"",FinaIndikatori!J14,"")</f>
        <v>75.908319999999989</v>
      </c>
      <c r="K16" s="3">
        <f>IF(K10&lt;&gt;"",FinaIndikatori!K14,"")</f>
        <v>75.908319999999989</v>
      </c>
      <c r="L16" s="3">
        <f>IF(L10&lt;&gt;"",FinaIndikatori!L14,"")</f>
        <v>75.908319999999989</v>
      </c>
      <c r="M16" s="3">
        <f>IF(M10&lt;&gt;"",FinaIndikatori!M14,"")</f>
        <v>75.908319999999989</v>
      </c>
      <c r="N16" s="3">
        <f>IF(N10&lt;&gt;"",FinaIndikatori!N14,"")</f>
        <v>75.908319999999989</v>
      </c>
      <c r="O16" s="3">
        <f>IF(O10&lt;&gt;"",FinaIndikatori!O14,"")</f>
        <v>75.908319999999989</v>
      </c>
      <c r="P16" s="3">
        <f>IF(P10&lt;&gt;"",FinaIndikatori!P14,"")</f>
        <v>75.908319999999989</v>
      </c>
      <c r="Q16" s="3">
        <f>IF(Q10&lt;&gt;"",FinaIndikatori!Q14,"")</f>
        <v>75.908319999999989</v>
      </c>
      <c r="R16" s="3">
        <f>IF(R10&lt;&gt;"",FinaIndikatori!R14,"")</f>
        <v>75.908319999999989</v>
      </c>
      <c r="S16" s="3">
        <f>IF(S10&lt;&gt;"",FinaIndikatori!S14,"")</f>
        <v>75.908319999999989</v>
      </c>
      <c r="T16" s="3">
        <f>IF(T10&lt;&gt;"",FinaIndikatori!T14,"")</f>
        <v>75.908319999999989</v>
      </c>
      <c r="U16" s="3">
        <f>IF(U10&lt;&gt;"",FinaIndikatori!U14,"")</f>
        <v>75.908319999999989</v>
      </c>
      <c r="V16" s="3">
        <f>IF(V10&lt;&gt;"",FinaIndikatori!V14,"")</f>
        <v>75.908319999999989</v>
      </c>
      <c r="W16" s="3">
        <f>IF(W10&lt;&gt;"",FinaIndikatori!W14,"")</f>
        <v>75.908319999999989</v>
      </c>
      <c r="X16" s="3">
        <f>IF(X10&lt;&gt;"",FinaIndikatori!X14,"")</f>
        <v>75.908319999999989</v>
      </c>
      <c r="Y16" s="3">
        <f>IF(Y10&lt;&gt;"",FinaIndikatori!Y14,"")</f>
        <v>75.908319999999989</v>
      </c>
    </row>
    <row r="17" spans="1:25" ht="18" x14ac:dyDescent="0.35">
      <c r="A17" s="66" t="s">
        <v>103</v>
      </c>
      <c r="B17" s="66"/>
      <c r="C17" s="66"/>
      <c r="D17" s="66"/>
      <c r="F17" s="3">
        <f>IF(F10&lt;&gt;"",'FinInd+CO2'!F16,"")</f>
        <v>11.705166854736841</v>
      </c>
      <c r="G17" s="3">
        <f>IF(G10&lt;&gt;"",'FinInd+CO2'!G16,"")</f>
        <v>11.705166854736841</v>
      </c>
      <c r="H17" s="3">
        <f>IF(H10&lt;&gt;"",'FinInd+CO2'!H16,"")</f>
        <v>11.705166854736841</v>
      </c>
      <c r="I17" s="3">
        <f>IF(I10&lt;&gt;"",'FinInd+CO2'!I16,"")</f>
        <v>11.705166854736841</v>
      </c>
      <c r="J17" s="3">
        <f>IF(J10&lt;&gt;"",'FinInd+CO2'!J16,"")</f>
        <v>11.705166854736841</v>
      </c>
      <c r="K17" s="3">
        <f>IF(K10&lt;&gt;"",'FinInd+CO2'!K16,"")</f>
        <v>11.705166854736841</v>
      </c>
      <c r="L17" s="3">
        <f>IF(L10&lt;&gt;"",'FinInd+CO2'!L16,"")</f>
        <v>11.705166854736841</v>
      </c>
      <c r="M17" s="3">
        <f>IF(M10&lt;&gt;"",'FinInd+CO2'!M16,"")</f>
        <v>11.705166854736841</v>
      </c>
      <c r="N17" s="3">
        <f>IF(N10&lt;&gt;"",'FinInd+CO2'!N16,"")</f>
        <v>11.705166854736841</v>
      </c>
      <c r="O17" s="3">
        <f>IF(O10&lt;&gt;"",'FinInd+CO2'!O16,"")</f>
        <v>11.705166854736841</v>
      </c>
      <c r="P17" s="3">
        <f>IF(P10&lt;&gt;"",'FinInd+CO2'!P16,"")</f>
        <v>11.705166854736841</v>
      </c>
      <c r="Q17" s="3">
        <f>IF(Q10&lt;&gt;"",'FinInd+CO2'!Q16,"")</f>
        <v>11.705166854736841</v>
      </c>
      <c r="R17" s="3">
        <f>IF(R10&lt;&gt;"",'FinInd+CO2'!R16,"")</f>
        <v>11.705166854736841</v>
      </c>
      <c r="S17" s="3">
        <f>IF(S10&lt;&gt;"",'FinInd+CO2'!S16,"")</f>
        <v>11.705166854736841</v>
      </c>
      <c r="T17" s="3">
        <f>IF(T10&lt;&gt;"",'FinInd+CO2'!T16,"")</f>
        <v>11.705166854736841</v>
      </c>
      <c r="U17" s="3">
        <f>IF(U10&lt;&gt;"",'FinInd+CO2'!U16,"")</f>
        <v>11.705166854736841</v>
      </c>
      <c r="V17" s="3">
        <f>IF(V10&lt;&gt;"",'FinInd+CO2'!V16,"")</f>
        <v>11.705166854736841</v>
      </c>
      <c r="W17" s="3">
        <f>IF(W10&lt;&gt;"",'FinInd+CO2'!W16,"")</f>
        <v>11.705166854736841</v>
      </c>
      <c r="X17" s="3">
        <f>IF(X10&lt;&gt;"",'FinInd+CO2'!X16,"")</f>
        <v>11.705166854736841</v>
      </c>
      <c r="Y17" s="3">
        <f>IF(Y10&lt;&gt;"",'FinInd+CO2'!Y16,"")</f>
        <v>11.705166854736841</v>
      </c>
    </row>
    <row r="19" spans="1:25" x14ac:dyDescent="0.25">
      <c r="A19" s="65" t="s">
        <v>27</v>
      </c>
      <c r="B19" s="65"/>
      <c r="C19" s="65"/>
      <c r="D19" s="65"/>
      <c r="E19" s="3">
        <f>NPV(UnosPodataka!M19,LCoEE!F14:Y14)/NPV(UnosPodataka!M19,LCoEE!F16:Y16)</f>
        <v>142.83304410368865</v>
      </c>
    </row>
    <row r="20" spans="1:25" ht="18" x14ac:dyDescent="0.35">
      <c r="A20" s="65" t="s">
        <v>28</v>
      </c>
      <c r="B20" s="65"/>
      <c r="C20" s="65"/>
      <c r="D20" s="65"/>
      <c r="E20" s="23">
        <f>IF(F17&lt;0,"-",NPV(UnosPodataka!M19,LCoEE!F14:Y14)/NPV(UnosPodataka!M19,LCoEE!F17:Y17))</f>
        <v>926.27610976850656</v>
      </c>
    </row>
    <row r="21" spans="1:25" x14ac:dyDescent="0.25">
      <c r="E21" s="6"/>
    </row>
  </sheetData>
  <sheetProtection selectLockedCells="1"/>
  <mergeCells count="13">
    <mergeCell ref="A20:D20"/>
    <mergeCell ref="A7:D8"/>
    <mergeCell ref="A10:D10"/>
    <mergeCell ref="A12:D12"/>
    <mergeCell ref="A13:D13"/>
    <mergeCell ref="A14:D14"/>
    <mergeCell ref="A15:D15"/>
    <mergeCell ref="N7:O8"/>
    <mergeCell ref="A16:D16"/>
    <mergeCell ref="A17:D17"/>
    <mergeCell ref="A19:D19"/>
    <mergeCell ref="F3:I3"/>
    <mergeCell ref="I7:J8"/>
  </mergeCells>
  <hyperlinks>
    <hyperlink ref="I7:J8" location="GrafEkon!A5" display="NAZAD"/>
    <hyperlink ref="N7:O8" location="SALCoEE!A1" display="DALJ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37"/>
  <sheetViews>
    <sheetView topLeftCell="A8" workbookViewId="0">
      <selection activeCell="H25" sqref="H25"/>
    </sheetView>
    <sheetView workbookViewId="1"/>
  </sheetViews>
  <sheetFormatPr defaultRowHeight="15" x14ac:dyDescent="0.25"/>
  <cols>
    <col min="1" max="1" width="11.85546875" customWidth="1"/>
    <col min="2" max="2" width="12.5703125" customWidth="1"/>
    <col min="4" max="4" width="12.5703125" customWidth="1"/>
    <col min="19" max="19" width="0" hidden="1" customWidth="1"/>
  </cols>
  <sheetData>
    <row r="3" spans="1:19" ht="16.5" x14ac:dyDescent="0.35">
      <c r="F3" s="56" t="s">
        <v>147</v>
      </c>
      <c r="G3" s="56"/>
      <c r="H3" s="56"/>
      <c r="I3" s="56"/>
    </row>
    <row r="7" spans="1:19" ht="21" x14ac:dyDescent="0.35">
      <c r="A7" s="63" t="s">
        <v>112</v>
      </c>
      <c r="B7" s="63"/>
      <c r="C7" s="63"/>
      <c r="D7" s="63"/>
    </row>
    <row r="8" spans="1:19" ht="15.75" thickBot="1" x14ac:dyDescent="0.3"/>
    <row r="9" spans="1:19" ht="15.75" thickBot="1" x14ac:dyDescent="0.3">
      <c r="B9" s="40" t="s">
        <v>174</v>
      </c>
      <c r="C9" s="41"/>
      <c r="D9" s="40" t="s">
        <v>175</v>
      </c>
      <c r="E9" s="41"/>
    </row>
    <row r="10" spans="1:19" ht="15.75" thickBot="1" x14ac:dyDescent="0.3">
      <c r="B10" s="42" t="s">
        <v>176</v>
      </c>
      <c r="C10" s="42" t="s">
        <v>177</v>
      </c>
      <c r="D10" s="42" t="s">
        <v>176</v>
      </c>
      <c r="E10" s="42" t="s">
        <v>177</v>
      </c>
    </row>
    <row r="12" spans="1:19" x14ac:dyDescent="0.25">
      <c r="A12" s="43" t="s">
        <v>178</v>
      </c>
      <c r="B12" s="44">
        <v>-7485.2136432805555</v>
      </c>
      <c r="C12" s="45">
        <v>1.9058185215270251E-2</v>
      </c>
      <c r="D12" s="44">
        <v>4976.5375471548741</v>
      </c>
      <c r="E12" s="7">
        <v>1.9058185215270251E-2</v>
      </c>
    </row>
    <row r="13" spans="1:19" x14ac:dyDescent="0.25">
      <c r="B13" s="44"/>
      <c r="C13" s="45"/>
      <c r="D13" s="44"/>
      <c r="S13" s="43" t="s">
        <v>182</v>
      </c>
    </row>
    <row r="14" spans="1:19" x14ac:dyDescent="0.25">
      <c r="A14" s="43" t="s">
        <v>74</v>
      </c>
      <c r="B14" s="44"/>
      <c r="C14" s="45"/>
      <c r="D14" s="44"/>
      <c r="S14" s="43" t="s">
        <v>183</v>
      </c>
    </row>
    <row r="15" spans="1:19" x14ac:dyDescent="0.25">
      <c r="A15" s="20">
        <v>0.1</v>
      </c>
      <c r="B15" s="44">
        <v>-8733.1194676786654</v>
      </c>
      <c r="C15" s="45">
        <v>1.592469381515782E-2</v>
      </c>
      <c r="D15" s="44">
        <v>3728.6317227567656</v>
      </c>
      <c r="E15" s="7">
        <v>1.592469381515782E-2</v>
      </c>
      <c r="S15" s="43" t="s">
        <v>184</v>
      </c>
    </row>
    <row r="16" spans="1:19" x14ac:dyDescent="0.25">
      <c r="A16" s="20">
        <v>-0.1</v>
      </c>
      <c r="B16" s="44">
        <v>-6237.3078188824811</v>
      </c>
      <c r="C16" s="45">
        <v>2.2146417191538204E-2</v>
      </c>
      <c r="D16" s="44">
        <v>6224.443371552964</v>
      </c>
      <c r="E16" s="7">
        <v>2.2146417191538204E-2</v>
      </c>
      <c r="S16" s="43" t="s">
        <v>68</v>
      </c>
    </row>
    <row r="17" spans="1:19" x14ac:dyDescent="0.25">
      <c r="A17" t="s">
        <v>179</v>
      </c>
      <c r="B17" s="45">
        <v>-0.6</v>
      </c>
      <c r="C17" s="45"/>
      <c r="D17" s="45">
        <v>0.39900000000000002</v>
      </c>
      <c r="E17" s="7"/>
      <c r="S17" s="43" t="s">
        <v>185</v>
      </c>
    </row>
    <row r="18" spans="1:19" x14ac:dyDescent="0.25">
      <c r="B18" s="44"/>
      <c r="C18" s="45"/>
      <c r="D18" s="44"/>
    </row>
    <row r="19" spans="1:19" x14ac:dyDescent="0.25">
      <c r="A19" s="43" t="s">
        <v>180</v>
      </c>
      <c r="B19" s="44"/>
      <c r="C19" s="45"/>
      <c r="D19" s="44"/>
    </row>
    <row r="20" spans="1:19" x14ac:dyDescent="0.25">
      <c r="A20" s="20">
        <v>0.1</v>
      </c>
      <c r="B20" s="44">
        <v>36.615921827600353</v>
      </c>
      <c r="C20" s="45">
        <v>3.7069952518907989E-2</v>
      </c>
      <c r="D20" s="44">
        <v>12498.36711226302</v>
      </c>
      <c r="E20" s="7">
        <v>3.7069952518907989E-2</v>
      </c>
    </row>
    <row r="21" spans="1:19" x14ac:dyDescent="0.25">
      <c r="A21" s="20">
        <v>-0.1</v>
      </c>
      <c r="B21" s="44">
        <v>-15007.043208388714</v>
      </c>
      <c r="C21" s="45">
        <v>-6.2091553102461283E-4</v>
      </c>
      <c r="D21" s="44">
        <v>-2545.2920179532748</v>
      </c>
      <c r="E21" s="7">
        <v>-6.2091553102461283E-4</v>
      </c>
    </row>
    <row r="22" spans="1:19" x14ac:dyDescent="0.25">
      <c r="A22" t="s">
        <v>179</v>
      </c>
      <c r="B22" s="45">
        <v>9.9500000000000005E-2</v>
      </c>
      <c r="C22" s="45"/>
      <c r="D22" s="45">
        <v>-6.6199999999999995E-2</v>
      </c>
      <c r="E22" s="7"/>
    </row>
    <row r="23" spans="1:19" x14ac:dyDescent="0.25">
      <c r="B23" s="44"/>
      <c r="C23" s="45"/>
      <c r="D23" s="44"/>
    </row>
    <row r="24" spans="1:19" x14ac:dyDescent="0.25">
      <c r="A24" s="43" t="s">
        <v>68</v>
      </c>
      <c r="B24" s="43"/>
      <c r="C24" s="43"/>
      <c r="D24" s="43"/>
      <c r="E24" s="7"/>
    </row>
    <row r="25" spans="1:19" x14ac:dyDescent="0.25">
      <c r="A25" s="20">
        <v>0.1</v>
      </c>
      <c r="B25" s="44"/>
      <c r="C25" s="45"/>
      <c r="D25" s="44">
        <v>6222.7126661984057</v>
      </c>
      <c r="E25" s="7">
        <v>1.9058185215270251E-2</v>
      </c>
    </row>
    <row r="26" spans="1:19" x14ac:dyDescent="0.25">
      <c r="A26" s="20">
        <v>-0.1</v>
      </c>
      <c r="B26" s="44"/>
      <c r="C26" s="45"/>
      <c r="D26" s="44">
        <v>3730.3624281113302</v>
      </c>
      <c r="E26" s="7">
        <v>1.9058185215270251E-2</v>
      </c>
    </row>
    <row r="27" spans="1:19" x14ac:dyDescent="0.25">
      <c r="A27" t="s">
        <v>179</v>
      </c>
      <c r="B27" s="45"/>
      <c r="C27" s="45"/>
      <c r="D27" s="45">
        <v>-0.3992</v>
      </c>
      <c r="E27" s="7"/>
    </row>
    <row r="28" spans="1:19" x14ac:dyDescent="0.25">
      <c r="B28" s="46"/>
      <c r="C28" s="45"/>
      <c r="D28" s="46"/>
      <c r="E28" s="7"/>
    </row>
    <row r="29" spans="1:19" x14ac:dyDescent="0.25">
      <c r="A29" s="43" t="s">
        <v>181</v>
      </c>
      <c r="B29" s="46"/>
      <c r="C29" s="45"/>
      <c r="D29" s="46"/>
      <c r="E29" s="7"/>
    </row>
    <row r="30" spans="1:19" x14ac:dyDescent="0.25">
      <c r="A30" s="20">
        <v>0.1</v>
      </c>
      <c r="B30" s="44">
        <v>-20358.893919706166</v>
      </c>
      <c r="C30" s="45">
        <v>-2.4030139549372498E-3</v>
      </c>
      <c r="D30" s="44">
        <v>-8784.4077344831039</v>
      </c>
      <c r="E30" s="7">
        <v>-2.4030139549372498E-3</v>
      </c>
    </row>
    <row r="31" spans="1:19" x14ac:dyDescent="0.25">
      <c r="A31" s="20">
        <v>-0.1</v>
      </c>
      <c r="B31" s="44">
        <v>7077.2542736395044</v>
      </c>
      <c r="C31" s="45">
        <v>4.5357151108702531E-2</v>
      </c>
      <c r="D31" s="44">
        <v>20758.352879456284</v>
      </c>
      <c r="E31" s="7">
        <v>4.5357151108702531E-2</v>
      </c>
    </row>
    <row r="32" spans="1:19" x14ac:dyDescent="0.25">
      <c r="A32" t="s">
        <v>179</v>
      </c>
      <c r="B32" s="45">
        <v>-5.3200000000000025E-2</v>
      </c>
      <c r="C32" s="46"/>
      <c r="D32" s="45">
        <v>3.4799999999999942E-2</v>
      </c>
      <c r="E32" s="7"/>
    </row>
    <row r="34" spans="1:5" x14ac:dyDescent="0.25">
      <c r="A34" s="60" t="s">
        <v>130</v>
      </c>
      <c r="B34" s="60"/>
      <c r="D34" s="61" t="s">
        <v>131</v>
      </c>
      <c r="E34" s="61"/>
    </row>
    <row r="35" spans="1:5" x14ac:dyDescent="0.25">
      <c r="A35" s="60"/>
      <c r="B35" s="60"/>
      <c r="D35" s="61"/>
      <c r="E35" s="61"/>
    </row>
    <row r="37" spans="1:5" x14ac:dyDescent="0.25">
      <c r="B37" s="44">
        <f>+FinaIndikatori!$E$44</f>
        <v>-7485.2136432805555</v>
      </c>
      <c r="C37" s="45">
        <f>+FinaIndikatori!$E$45</f>
        <v>1.9058185215270251E-2</v>
      </c>
      <c r="D37" s="44">
        <f>+'FinInd+CO2'!$E$46</f>
        <v>7869.4685820212953</v>
      </c>
      <c r="E37" s="7">
        <f>+FinaIndikatori!$E$45</f>
        <v>1.9058185215270251E-2</v>
      </c>
    </row>
  </sheetData>
  <sheetProtection selectLockedCells="1"/>
  <mergeCells count="4">
    <mergeCell ref="F3:I3"/>
    <mergeCell ref="A34:B35"/>
    <mergeCell ref="D34:E35"/>
    <mergeCell ref="A7:D7"/>
  </mergeCells>
  <hyperlinks>
    <hyperlink ref="A34:B35" location="LCoEE!I1" display="NAZAD"/>
    <hyperlink ref="D34:E35" location="AkoESCO!A1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striction" error="Samo stavke ponuđene u listi" promptTitle="CO2 Tax" prompt="Iznos karbon takse">
          <x14:formula1>
            <xm:f>PomTab1!$O$15:$O$20</xm:f>
          </x14:formula1>
          <xm:sqref>A24:D24 S16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B20" sqref="B20"/>
    </sheetView>
    <sheetView workbookViewId="1"/>
  </sheetViews>
  <sheetFormatPr defaultRowHeight="15" x14ac:dyDescent="0.25"/>
  <cols>
    <col min="5" max="5" width="11.7109375" customWidth="1"/>
  </cols>
  <sheetData>
    <row r="3" spans="1:25" ht="16.5" x14ac:dyDescent="0.35">
      <c r="F3" s="56" t="s">
        <v>147</v>
      </c>
      <c r="G3" s="56"/>
      <c r="H3" s="56"/>
      <c r="I3" s="56"/>
    </row>
    <row r="7" spans="1:25" x14ac:dyDescent="0.25">
      <c r="A7" s="58" t="s">
        <v>133</v>
      </c>
      <c r="B7" s="58"/>
      <c r="C7" s="58"/>
      <c r="D7" s="58"/>
      <c r="I7" s="60" t="s">
        <v>130</v>
      </c>
      <c r="J7" s="60"/>
      <c r="N7" s="61" t="s">
        <v>131</v>
      </c>
      <c r="O7" s="61"/>
    </row>
    <row r="8" spans="1:25" x14ac:dyDescent="0.25">
      <c r="A8" s="58"/>
      <c r="B8" s="58"/>
      <c r="C8" s="58"/>
      <c r="D8" s="58"/>
      <c r="I8" s="60"/>
      <c r="J8" s="60"/>
      <c r="N8" s="61"/>
      <c r="O8" s="61"/>
    </row>
    <row r="10" spans="1:25" x14ac:dyDescent="0.25">
      <c r="A10" s="77" t="s">
        <v>102</v>
      </c>
      <c r="B10" s="77"/>
      <c r="C10" s="77"/>
      <c r="D10" s="77"/>
      <c r="E10" s="17"/>
      <c r="F10" s="17">
        <f>IF(E10&lt;UnosPodataka!$M$25,E10+1,"")</f>
        <v>1</v>
      </c>
      <c r="G10" s="17">
        <f>IF(F10&lt;UnosPodataka!$M$25,F10+1,"")</f>
        <v>2</v>
      </c>
      <c r="H10" s="17">
        <f>IF(G10&lt;UnosPodataka!$M$25,G10+1,"")</f>
        <v>3</v>
      </c>
      <c r="I10" s="17">
        <f>IF(H10&lt;UnosPodataka!$M$25,H10+1,"")</f>
        <v>4</v>
      </c>
      <c r="J10" s="17">
        <f>IF(I10&lt;UnosPodataka!$M$25,I10+1,"")</f>
        <v>5</v>
      </c>
      <c r="K10" s="17">
        <f>IF(J10&lt;UnosPodataka!$M$25,J10+1,"")</f>
        <v>6</v>
      </c>
      <c r="L10" s="17">
        <f>IF(K10&lt;UnosPodataka!$M$25,K10+1,"")</f>
        <v>7</v>
      </c>
      <c r="M10" s="17">
        <f>IF(L10&lt;UnosPodataka!$M$25,L10+1,"")</f>
        <v>8</v>
      </c>
      <c r="N10" s="17">
        <f>IF(M10&lt;UnosPodataka!$M$25,M10+1,"")</f>
        <v>9</v>
      </c>
      <c r="O10" s="17">
        <f>IF(N10&lt;UnosPodataka!$M$25,N10+1,"")</f>
        <v>10</v>
      </c>
      <c r="P10" s="17">
        <f>IF(O10&lt;UnosPodataka!$M$25,O10+1,"")</f>
        <v>11</v>
      </c>
      <c r="Q10" s="17">
        <f>IF(P10&lt;UnosPodataka!$M$25,P10+1,"")</f>
        <v>12</v>
      </c>
      <c r="R10" s="17">
        <f>IF(Q10&lt;UnosPodataka!$M$25,Q10+1,"")</f>
        <v>13</v>
      </c>
      <c r="S10" s="17">
        <f>IF(R10&lt;UnosPodataka!$M$25,R10+1,"")</f>
        <v>14</v>
      </c>
      <c r="T10" s="17">
        <f>IF(S10&lt;UnosPodataka!$M$25,S10+1,"")</f>
        <v>15</v>
      </c>
      <c r="U10" s="17">
        <f>IF(T10&lt;UnosPodataka!$M$25,T10+1,"")</f>
        <v>16</v>
      </c>
      <c r="V10" s="17">
        <f>IF(U10&lt;UnosPodataka!$M$25,U10+1,"")</f>
        <v>17</v>
      </c>
      <c r="W10" s="17">
        <f>IF(V10&lt;UnosPodataka!$M$25,V10+1,"")</f>
        <v>18</v>
      </c>
      <c r="X10" s="17">
        <f>IF(W10&lt;UnosPodataka!$M$25,W10+1,"")</f>
        <v>19</v>
      </c>
      <c r="Y10" s="17">
        <f>IF(X10&lt;UnosPodataka!$M$25,X10+1,"")</f>
        <v>20</v>
      </c>
    </row>
    <row r="12" spans="1:25" x14ac:dyDescent="0.25">
      <c r="A12" s="66" t="s">
        <v>134</v>
      </c>
      <c r="B12" s="66"/>
      <c r="C12" s="66"/>
      <c r="D12" s="66"/>
      <c r="E12" s="3">
        <v>0</v>
      </c>
      <c r="F12" s="3">
        <f>-FinaIndikatori!F28</f>
        <v>0</v>
      </c>
      <c r="G12" s="3">
        <f>-FinaIndikatori!G28</f>
        <v>0</v>
      </c>
      <c r="H12" s="3">
        <f>-FinaIndikatori!H28</f>
        <v>0</v>
      </c>
      <c r="I12" s="3">
        <f>-FinaIndikatori!I28</f>
        <v>0</v>
      </c>
      <c r="J12" s="3">
        <f>-FinaIndikatori!J28</f>
        <v>0</v>
      </c>
      <c r="K12" s="3">
        <f>-FinaIndikatori!K28</f>
        <v>0</v>
      </c>
      <c r="L12" s="3">
        <f>-FinaIndikatori!L28</f>
        <v>0</v>
      </c>
      <c r="M12" s="3">
        <f>-FinaIndikatori!M28</f>
        <v>0</v>
      </c>
      <c r="N12" s="3">
        <f>-FinaIndikatori!N28</f>
        <v>0</v>
      </c>
      <c r="O12" s="3">
        <f>-FinaIndikatori!O28</f>
        <v>0</v>
      </c>
      <c r="P12" s="3">
        <f>-FinaIndikatori!P28</f>
        <v>0</v>
      </c>
      <c r="Q12" s="3">
        <f>-FinaIndikatori!Q28</f>
        <v>0</v>
      </c>
      <c r="R12" s="3">
        <f>-FinaIndikatori!R28</f>
        <v>0</v>
      </c>
      <c r="S12" s="3">
        <f>-FinaIndikatori!S28</f>
        <v>0</v>
      </c>
      <c r="T12" s="3">
        <f>-FinaIndikatori!T28</f>
        <v>0</v>
      </c>
      <c r="U12" s="3">
        <f>-FinaIndikatori!U28</f>
        <v>0</v>
      </c>
      <c r="V12" s="3">
        <f>-FinaIndikatori!V28</f>
        <v>0</v>
      </c>
      <c r="W12" s="3">
        <f>-FinaIndikatori!W28</f>
        <v>0</v>
      </c>
      <c r="X12" s="3">
        <f>-FinaIndikatori!X28</f>
        <v>0</v>
      </c>
      <c r="Y12" s="3">
        <f>-FinaIndikatori!Y28</f>
        <v>0</v>
      </c>
    </row>
    <row r="13" spans="1:25" x14ac:dyDescent="0.25">
      <c r="A13" s="66" t="s">
        <v>135</v>
      </c>
      <c r="B13" s="66"/>
      <c r="C13" s="66"/>
      <c r="D13" s="66"/>
      <c r="E13" s="3">
        <v>0</v>
      </c>
      <c r="F13" s="3">
        <f>IF(F10&lt;&gt;0,F12*(1+UnosPodataka!$M$19)^(-F10),"")</f>
        <v>0</v>
      </c>
      <c r="G13" s="3">
        <f>IF(G10&lt;&gt;0,G12*(1+UnosPodataka!$M$19)^(-G10),"")</f>
        <v>0</v>
      </c>
      <c r="H13" s="3">
        <f>IF(H10&lt;&gt;0,H12*(1+UnosPodataka!$M$19)^(-H10),"")</f>
        <v>0</v>
      </c>
      <c r="I13" s="3">
        <f>IF(I10&lt;&gt;0,I12*(1+UnosPodataka!$M$19)^(-I10),"")</f>
        <v>0</v>
      </c>
      <c r="J13" s="3">
        <f>IF(J10&lt;&gt;0,J12*(1+UnosPodataka!$M$19)^(-J10),"")</f>
        <v>0</v>
      </c>
      <c r="K13" s="3">
        <f>IF(K10&lt;&gt;0,K12*(1+UnosPodataka!$M$19)^(-K10),"")</f>
        <v>0</v>
      </c>
      <c r="L13" s="3">
        <f>IF(L10&lt;&gt;0,L12*(1+UnosPodataka!$M$19)^(-L10),"")</f>
        <v>0</v>
      </c>
      <c r="M13" s="3">
        <f>IF(M10&lt;&gt;0,M12*(1+UnosPodataka!$M$19)^(-M10),"")</f>
        <v>0</v>
      </c>
      <c r="N13" s="3">
        <f>IF(N10&lt;&gt;0,N12*(1+UnosPodataka!$M$19)^(-N10),"")</f>
        <v>0</v>
      </c>
      <c r="O13" s="3">
        <f>IF(O10&lt;&gt;0,O12*(1+UnosPodataka!$M$19)^(-O10),"")</f>
        <v>0</v>
      </c>
      <c r="P13" s="3">
        <f>IF(P10&lt;&gt;0,P12*(1+UnosPodataka!$M$19)^(-P10),"")</f>
        <v>0</v>
      </c>
      <c r="Q13" s="3">
        <f>IF(Q10&lt;&gt;0,Q12*(1+UnosPodataka!$M$19)^(-Q10),"")</f>
        <v>0</v>
      </c>
      <c r="R13" s="3">
        <f>IF(R10&lt;&gt;0,R12*(1+UnosPodataka!$M$19)^(-R10),"")</f>
        <v>0</v>
      </c>
      <c r="S13" s="3">
        <f>IF(S10&lt;&gt;0,S12*(1+UnosPodataka!$M$19)^(-S10),"")</f>
        <v>0</v>
      </c>
      <c r="T13" s="3">
        <f>IF(T10&lt;&gt;0,T12*(1+UnosPodataka!$M$19)^(-T10),"")</f>
        <v>0</v>
      </c>
      <c r="U13" s="3">
        <f>IF(U10&lt;&gt;0,U12*(1+UnosPodataka!$M$19)^(-U10),"")</f>
        <v>0</v>
      </c>
      <c r="V13" s="3">
        <f>IF(V10&lt;&gt;0,V12*(1+UnosPodataka!$M$19)^(-V10),"")</f>
        <v>0</v>
      </c>
      <c r="W13" s="3">
        <f>IF(W10&lt;&gt;0,W12*(1+UnosPodataka!$M$19)^(-W10),"")</f>
        <v>0</v>
      </c>
      <c r="X13" s="3">
        <f>IF(X10&lt;&gt;0,X12*(1+UnosPodataka!$M$19)^(-X10),"")</f>
        <v>0</v>
      </c>
      <c r="Y13" s="3">
        <f>IF(Y10&lt;&gt;0,Y12*(1+UnosPodataka!$M$19)^(-Y10),"")</f>
        <v>0</v>
      </c>
    </row>
    <row r="15" spans="1:25" x14ac:dyDescent="0.25">
      <c r="A15" s="76" t="s">
        <v>26</v>
      </c>
      <c r="B15" s="76"/>
      <c r="C15" s="76"/>
      <c r="D15" s="76"/>
      <c r="E15" s="19">
        <f>NPV(UnosPodataka!M19,AkoESCO!F12:Y12)</f>
        <v>0</v>
      </c>
    </row>
    <row r="16" spans="1:25" x14ac:dyDescent="0.25">
      <c r="A16" s="76" t="s">
        <v>136</v>
      </c>
      <c r="B16" s="76"/>
      <c r="C16" s="76"/>
      <c r="D16" s="76"/>
      <c r="E16" s="6" t="s">
        <v>137</v>
      </c>
    </row>
  </sheetData>
  <mergeCells count="9">
    <mergeCell ref="N7:O8"/>
    <mergeCell ref="A7:D8"/>
    <mergeCell ref="A10:D10"/>
    <mergeCell ref="A12:D12"/>
    <mergeCell ref="F3:I3"/>
    <mergeCell ref="A13:D13"/>
    <mergeCell ref="A15:D15"/>
    <mergeCell ref="A16:D16"/>
    <mergeCell ref="I7:J8"/>
  </mergeCells>
  <hyperlinks>
    <hyperlink ref="I7:J8" location="SALCoEE!A10" display="NAZAD"/>
    <hyperlink ref="N7:O8" location="ESCOGrafFina!A1" display="DALJ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C22" sqref="C22"/>
    </sheetView>
    <sheetView workbookViewId="1"/>
  </sheetViews>
  <sheetFormatPr defaultRowHeight="15" x14ac:dyDescent="0.25"/>
  <sheetData>
    <row r="3" spans="1:9" ht="16.5" x14ac:dyDescent="0.35">
      <c r="F3" s="56" t="s">
        <v>147</v>
      </c>
      <c r="G3" s="56"/>
      <c r="H3" s="56"/>
      <c r="I3" s="56"/>
    </row>
    <row r="7" spans="1:9" x14ac:dyDescent="0.25">
      <c r="A7" s="58" t="s">
        <v>106</v>
      </c>
      <c r="B7" s="58"/>
      <c r="C7" s="58"/>
      <c r="D7" s="58"/>
    </row>
    <row r="8" spans="1:9" x14ac:dyDescent="0.25">
      <c r="A8" s="58"/>
      <c r="B8" s="58"/>
      <c r="C8" s="58"/>
      <c r="D8" s="58"/>
    </row>
    <row r="9" spans="1:9" x14ac:dyDescent="0.25">
      <c r="A9" s="58"/>
      <c r="B9" s="58"/>
      <c r="C9" s="58"/>
      <c r="D9" s="58"/>
    </row>
    <row r="11" spans="1:9" x14ac:dyDescent="0.25">
      <c r="A11" s="60" t="s">
        <v>130</v>
      </c>
      <c r="B11" s="60"/>
      <c r="D11" s="61" t="s">
        <v>131</v>
      </c>
      <c r="E11" s="61"/>
    </row>
    <row r="12" spans="1:9" x14ac:dyDescent="0.25">
      <c r="A12" s="60"/>
      <c r="B12" s="60"/>
      <c r="D12" s="61"/>
      <c r="E12" s="61"/>
    </row>
  </sheetData>
  <mergeCells count="4">
    <mergeCell ref="A7:D9"/>
    <mergeCell ref="A11:B12"/>
    <mergeCell ref="D11:E12"/>
    <mergeCell ref="F3:I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workbookViewId="0">
      <selection activeCell="O24" sqref="O24"/>
    </sheetView>
    <sheetView tabSelected="1" workbookViewId="1">
      <selection activeCell="R12" sqref="R12"/>
    </sheetView>
  </sheetViews>
  <sheetFormatPr defaultRowHeight="15" x14ac:dyDescent="0.25"/>
  <sheetData>
    <row r="3" spans="1:9" ht="16.5" x14ac:dyDescent="0.35">
      <c r="F3" s="56" t="s">
        <v>147</v>
      </c>
      <c r="G3" s="56"/>
      <c r="H3" s="56"/>
      <c r="I3" s="56"/>
    </row>
    <row r="7" spans="1:9" x14ac:dyDescent="0.25">
      <c r="A7" s="58" t="s">
        <v>138</v>
      </c>
      <c r="B7" s="58"/>
      <c r="C7" s="58"/>
      <c r="D7" s="58"/>
    </row>
    <row r="8" spans="1:9" x14ac:dyDescent="0.25">
      <c r="A8" s="58"/>
      <c r="B8" s="58"/>
      <c r="C8" s="58"/>
      <c r="D8" s="58"/>
    </row>
    <row r="9" spans="1:9" x14ac:dyDescent="0.25">
      <c r="B9" s="65" t="s">
        <v>49</v>
      </c>
      <c r="C9" s="65"/>
      <c r="D9" s="65"/>
      <c r="E9" s="71" t="str">
        <f>PROJEKAT</f>
        <v>Ugradnja termal-solar sistema u zgradi</v>
      </c>
      <c r="F9" s="71"/>
      <c r="G9" s="71"/>
      <c r="H9" s="71"/>
      <c r="I9" s="71"/>
    </row>
    <row r="10" spans="1:9" x14ac:dyDescent="0.25">
      <c r="B10" s="65" t="s">
        <v>139</v>
      </c>
      <c r="C10" s="65"/>
      <c r="D10" s="65"/>
      <c r="E10" s="79">
        <f>Investment</f>
        <v>41300</v>
      </c>
      <c r="F10" s="79"/>
      <c r="G10" s="79"/>
      <c r="H10" s="79"/>
      <c r="I10" s="79"/>
    </row>
    <row r="11" spans="1:9" x14ac:dyDescent="0.25">
      <c r="B11" s="65" t="s">
        <v>140</v>
      </c>
      <c r="C11" s="65"/>
      <c r="D11" s="65"/>
      <c r="E11" s="79">
        <f>Investment-Equity-Loan</f>
        <v>26000</v>
      </c>
      <c r="F11" s="79"/>
      <c r="G11" s="79"/>
      <c r="H11" s="79"/>
      <c r="I11" s="79"/>
    </row>
    <row r="12" spans="1:9" x14ac:dyDescent="0.25">
      <c r="B12" s="65" t="s">
        <v>88</v>
      </c>
      <c r="C12" s="65"/>
      <c r="D12" s="65"/>
      <c r="E12" s="79">
        <f>Equity</f>
        <v>5000</v>
      </c>
      <c r="F12" s="79"/>
      <c r="G12" s="79"/>
      <c r="H12" s="79"/>
      <c r="I12" s="79"/>
    </row>
    <row r="13" spans="1:9" x14ac:dyDescent="0.25">
      <c r="B13" s="65" t="s">
        <v>87</v>
      </c>
      <c r="C13" s="65"/>
      <c r="D13" s="65"/>
      <c r="E13" s="79">
        <f>Loan</f>
        <v>10300</v>
      </c>
      <c r="F13" s="79"/>
      <c r="G13" s="79"/>
      <c r="H13" s="79"/>
      <c r="I13" s="79"/>
    </row>
    <row r="14" spans="1:9" x14ac:dyDescent="0.25">
      <c r="B14" s="65" t="s">
        <v>141</v>
      </c>
      <c r="C14" s="65"/>
      <c r="D14" s="65"/>
      <c r="E14" s="79">
        <f>LCoEE</f>
        <v>142.83304410368865</v>
      </c>
      <c r="F14" s="79"/>
      <c r="G14" s="79"/>
      <c r="H14" s="79"/>
      <c r="I14" s="79"/>
    </row>
    <row r="15" spans="1:9" x14ac:dyDescent="0.25">
      <c r="B15" s="65" t="s">
        <v>176</v>
      </c>
      <c r="C15" s="65"/>
      <c r="D15" s="65"/>
      <c r="E15" s="79">
        <f>+FinaIndikatori!E44</f>
        <v>-7485.2136432805555</v>
      </c>
      <c r="F15" s="79"/>
      <c r="G15" s="79"/>
      <c r="H15" s="79"/>
      <c r="I15" s="79"/>
    </row>
    <row r="16" spans="1:9" x14ac:dyDescent="0.25">
      <c r="B16" s="65" t="s">
        <v>186</v>
      </c>
      <c r="C16" s="65"/>
      <c r="D16" s="65"/>
      <c r="E16" s="80">
        <f>+FinaIndikatori!E45</f>
        <v>1.9058185215270251E-2</v>
      </c>
      <c r="F16" s="80"/>
      <c r="G16" s="80"/>
      <c r="H16" s="80"/>
      <c r="I16" s="80"/>
    </row>
    <row r="17" spans="2:9" x14ac:dyDescent="0.25">
      <c r="B17" s="65" t="s">
        <v>208</v>
      </c>
      <c r="C17" s="65"/>
      <c r="D17" s="65"/>
      <c r="E17" s="79">
        <f>+'FinInd+CO2'!E46</f>
        <v>7869.4685820212953</v>
      </c>
      <c r="F17" s="79"/>
      <c r="G17" s="79"/>
      <c r="H17" s="79"/>
      <c r="I17" s="79"/>
    </row>
    <row r="18" spans="2:9" x14ac:dyDescent="0.25">
      <c r="B18" s="65" t="s">
        <v>187</v>
      </c>
      <c r="C18" s="65"/>
      <c r="D18" s="65"/>
      <c r="E18" s="78">
        <f>SUM('FinInd+CO2'!E47)</f>
        <v>5.4559128112676047E-2</v>
      </c>
      <c r="F18" s="71"/>
      <c r="G18" s="71"/>
      <c r="H18" s="71"/>
      <c r="I18" s="71"/>
    </row>
    <row r="20" spans="2:9" x14ac:dyDescent="0.25">
      <c r="B20" s="60" t="s">
        <v>130</v>
      </c>
      <c r="C20" s="60"/>
    </row>
    <row r="21" spans="2:9" x14ac:dyDescent="0.25">
      <c r="B21" s="60"/>
      <c r="C21" s="60"/>
    </row>
  </sheetData>
  <mergeCells count="23">
    <mergeCell ref="F3:I3"/>
    <mergeCell ref="E14:I14"/>
    <mergeCell ref="E15:I15"/>
    <mergeCell ref="E16:I16"/>
    <mergeCell ref="E17:I17"/>
    <mergeCell ref="E9:I9"/>
    <mergeCell ref="E10:I10"/>
    <mergeCell ref="E11:I11"/>
    <mergeCell ref="E12:I12"/>
    <mergeCell ref="E13:I13"/>
    <mergeCell ref="E18:I18"/>
    <mergeCell ref="B20:C21"/>
    <mergeCell ref="B14:D14"/>
    <mergeCell ref="B15:D15"/>
    <mergeCell ref="B16:D16"/>
    <mergeCell ref="B17:D17"/>
    <mergeCell ref="B18:D18"/>
    <mergeCell ref="B13:D13"/>
    <mergeCell ref="A7:D8"/>
    <mergeCell ref="B9:D9"/>
    <mergeCell ref="B10:D10"/>
    <mergeCell ref="B11:D11"/>
    <mergeCell ref="B12:D12"/>
  </mergeCells>
  <hyperlinks>
    <hyperlink ref="B20:C21" location="ESCOGrafFina!A5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23"/>
  <sheetViews>
    <sheetView view="pageBreakPreview" zoomScale="60" workbookViewId="0"/>
    <sheetView zoomScaleNormal="100" workbookViewId="1">
      <selection activeCell="I22" sqref="I22"/>
    </sheetView>
  </sheetViews>
  <sheetFormatPr defaultRowHeight="15" x14ac:dyDescent="0.25"/>
  <cols>
    <col min="2" max="2" width="37.42578125" customWidth="1"/>
  </cols>
  <sheetData>
    <row r="7" spans="2:3" ht="21" x14ac:dyDescent="0.35">
      <c r="B7" s="55" t="s">
        <v>198</v>
      </c>
    </row>
    <row r="8" spans="2:3" ht="18" x14ac:dyDescent="0.35">
      <c r="C8" s="48" t="s">
        <v>199</v>
      </c>
    </row>
    <row r="9" spans="2:3" x14ac:dyDescent="0.25">
      <c r="B9" t="s">
        <v>20</v>
      </c>
      <c r="C9" s="8">
        <v>0.4</v>
      </c>
    </row>
    <row r="10" spans="2:3" x14ac:dyDescent="0.25">
      <c r="B10" t="s">
        <v>19</v>
      </c>
      <c r="C10" s="8">
        <v>0.33</v>
      </c>
    </row>
    <row r="11" spans="2:3" x14ac:dyDescent="0.25">
      <c r="B11" t="s">
        <v>200</v>
      </c>
      <c r="C11" s="8">
        <v>0.34</v>
      </c>
    </row>
    <row r="12" spans="2:3" x14ac:dyDescent="0.25">
      <c r="B12" t="s">
        <v>201</v>
      </c>
      <c r="C12" s="8">
        <v>0.27</v>
      </c>
    </row>
    <row r="13" spans="2:3" x14ac:dyDescent="0.25">
      <c r="B13" t="s">
        <v>16</v>
      </c>
      <c r="C13" s="8">
        <v>0.28000000000000003</v>
      </c>
    </row>
    <row r="14" spans="2:3" x14ac:dyDescent="0.25">
      <c r="B14" t="s">
        <v>13</v>
      </c>
      <c r="C14" s="8">
        <v>0.2</v>
      </c>
    </row>
    <row r="15" spans="2:3" x14ac:dyDescent="0.25">
      <c r="B15" t="s">
        <v>202</v>
      </c>
      <c r="C15" s="8">
        <v>0.22</v>
      </c>
    </row>
    <row r="16" spans="2:3" x14ac:dyDescent="0.25">
      <c r="B16" t="s">
        <v>203</v>
      </c>
      <c r="C16" s="8">
        <v>0.49399999999999999</v>
      </c>
    </row>
    <row r="17" spans="2:3" x14ac:dyDescent="0.25">
      <c r="B17" t="s">
        <v>22</v>
      </c>
      <c r="C17" s="8">
        <v>4.9000000000000002E-2</v>
      </c>
    </row>
    <row r="18" spans="2:3" x14ac:dyDescent="0.25">
      <c r="B18" t="s">
        <v>204</v>
      </c>
      <c r="C18" s="8">
        <v>0.04</v>
      </c>
    </row>
    <row r="19" spans="2:3" x14ac:dyDescent="0.25">
      <c r="B19" t="s">
        <v>205</v>
      </c>
      <c r="C19" s="8">
        <v>0.28999999999999998</v>
      </c>
    </row>
    <row r="20" spans="2:3" x14ac:dyDescent="0.25">
      <c r="B20" t="s">
        <v>17</v>
      </c>
      <c r="C20" s="8">
        <v>0.8</v>
      </c>
    </row>
    <row r="21" spans="2:3" x14ac:dyDescent="0.25">
      <c r="B21" t="s">
        <v>206</v>
      </c>
      <c r="C21" s="8">
        <v>0</v>
      </c>
    </row>
    <row r="22" spans="2:3" x14ac:dyDescent="0.25">
      <c r="B22" t="s">
        <v>195</v>
      </c>
    </row>
    <row r="23" spans="2:3" x14ac:dyDescent="0.25">
      <c r="B23" t="s">
        <v>207</v>
      </c>
      <c r="C23" s="8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1"/>
  <sheetViews>
    <sheetView view="pageBreakPreview" zoomScale="60" workbookViewId="0"/>
    <sheetView zoomScaleNormal="100" workbookViewId="1">
      <selection activeCell="J18" sqref="J18"/>
    </sheetView>
  </sheetViews>
  <sheetFormatPr defaultRowHeight="15" x14ac:dyDescent="0.25"/>
  <cols>
    <col min="2" max="2" width="30" customWidth="1"/>
    <col min="3" max="3" width="14.42578125" customWidth="1"/>
  </cols>
  <sheetData>
    <row r="3" spans="2:7" ht="16.5" x14ac:dyDescent="0.35">
      <c r="D3" s="56" t="s">
        <v>147</v>
      </c>
      <c r="E3" s="56"/>
      <c r="F3" s="56"/>
      <c r="G3" s="56"/>
    </row>
    <row r="7" spans="2:7" ht="21" x14ac:dyDescent="0.35">
      <c r="B7" s="63" t="s">
        <v>188</v>
      </c>
      <c r="C7" s="63"/>
      <c r="D7" s="63"/>
      <c r="E7" s="63"/>
      <c r="F7" s="63"/>
      <c r="G7" s="63"/>
    </row>
    <row r="8" spans="2:7" x14ac:dyDescent="0.25">
      <c r="B8" s="48"/>
      <c r="C8" s="48"/>
      <c r="D8" s="48"/>
      <c r="E8" s="48"/>
      <c r="F8" s="48"/>
      <c r="G8" s="48"/>
    </row>
    <row r="9" spans="2:7" x14ac:dyDescent="0.25">
      <c r="B9" s="64" t="s">
        <v>189</v>
      </c>
      <c r="C9" s="64" t="s">
        <v>190</v>
      </c>
      <c r="D9" s="64" t="s">
        <v>191</v>
      </c>
      <c r="E9" s="64" t="s">
        <v>192</v>
      </c>
    </row>
    <row r="10" spans="2:7" x14ac:dyDescent="0.25">
      <c r="B10" s="64"/>
      <c r="C10" s="64"/>
      <c r="D10" s="64"/>
      <c r="E10" s="64"/>
    </row>
    <row r="11" spans="2:7" ht="18" x14ac:dyDescent="0.35">
      <c r="B11" s="49"/>
      <c r="C11" s="47" t="s">
        <v>24</v>
      </c>
      <c r="D11" s="47" t="s">
        <v>193</v>
      </c>
      <c r="E11" s="47" t="s">
        <v>194</v>
      </c>
    </row>
    <row r="12" spans="2:7" x14ac:dyDescent="0.25">
      <c r="B12" s="50" t="s">
        <v>16</v>
      </c>
      <c r="C12" s="51">
        <v>100000</v>
      </c>
      <c r="D12" s="52">
        <f>VLOOKUP(B12,Gorivo!$B$9:$C$23,2,FALSE)</f>
        <v>0.28000000000000003</v>
      </c>
      <c r="E12" s="53">
        <f>IF(B12&lt;&gt;"Gorivo",C12*D12,"")</f>
        <v>28000.000000000004</v>
      </c>
    </row>
    <row r="13" spans="2:7" x14ac:dyDescent="0.25">
      <c r="B13" s="50" t="s">
        <v>195</v>
      </c>
      <c r="C13" s="51">
        <v>6000</v>
      </c>
      <c r="D13" s="52">
        <f>VLOOKUP(B13,Gorivo!$B$9:$C$23,2,FALSE)</f>
        <v>0</v>
      </c>
      <c r="E13" s="53" t="str">
        <f t="shared" ref="E13:E17" si="0">IF(B13&lt;&gt;"Gorivo",C13*D13,"")</f>
        <v/>
      </c>
    </row>
    <row r="14" spans="2:7" x14ac:dyDescent="0.25">
      <c r="B14" s="50" t="s">
        <v>22</v>
      </c>
      <c r="C14" s="51">
        <v>8000</v>
      </c>
      <c r="D14" s="52">
        <f>VLOOKUP(B14,Gorivo!$B$9:$C$23,2,FALSE)</f>
        <v>4.9000000000000002E-2</v>
      </c>
      <c r="E14" s="53">
        <f t="shared" si="0"/>
        <v>392</v>
      </c>
    </row>
    <row r="15" spans="2:7" x14ac:dyDescent="0.25">
      <c r="B15" s="50" t="s">
        <v>195</v>
      </c>
      <c r="C15" s="51"/>
      <c r="D15" s="52">
        <f>VLOOKUP(B15,Gorivo!$B$9:$C$23,2,FALSE)</f>
        <v>0</v>
      </c>
      <c r="E15" s="53" t="str">
        <f t="shared" si="0"/>
        <v/>
      </c>
    </row>
    <row r="16" spans="2:7" x14ac:dyDescent="0.25">
      <c r="B16" s="50" t="s">
        <v>195</v>
      </c>
      <c r="C16" s="51"/>
      <c r="D16" s="52">
        <f>VLOOKUP(B16,Gorivo!$B$9:$C$23,2,FALSE)</f>
        <v>0</v>
      </c>
      <c r="E16" s="53" t="str">
        <f t="shared" si="0"/>
        <v/>
      </c>
    </row>
    <row r="17" spans="2:5" x14ac:dyDescent="0.25">
      <c r="B17" s="50" t="s">
        <v>195</v>
      </c>
      <c r="C17" s="51"/>
      <c r="D17" s="52">
        <f>VLOOKUP(B17,Gorivo!$B$9:$C$23,2,FALSE)</f>
        <v>0</v>
      </c>
      <c r="E17" s="53" t="str">
        <f t="shared" si="0"/>
        <v/>
      </c>
    </row>
    <row r="18" spans="2:5" x14ac:dyDescent="0.25">
      <c r="B18" s="49" t="s">
        <v>70</v>
      </c>
      <c r="C18" s="53">
        <f>SUM(C12:C17)</f>
        <v>114000</v>
      </c>
      <c r="D18" s="52"/>
      <c r="E18" s="53">
        <f>SUM(E12:E17)</f>
        <v>28392.000000000004</v>
      </c>
    </row>
    <row r="20" spans="2:5" ht="18" x14ac:dyDescent="0.35">
      <c r="B20" s="62" t="s">
        <v>196</v>
      </c>
      <c r="C20" s="62"/>
      <c r="D20" s="62"/>
      <c r="E20" s="47" t="s">
        <v>197</v>
      </c>
    </row>
    <row r="21" spans="2:5" x14ac:dyDescent="0.25">
      <c r="B21" s="62"/>
      <c r="C21" s="62"/>
      <c r="D21" s="62"/>
      <c r="E21" s="54">
        <f>E18/C18</f>
        <v>0.24905263157894739</v>
      </c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Gorivo!$B$9:$B$23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3:Q40"/>
  <sheetViews>
    <sheetView topLeftCell="A6" workbookViewId="0">
      <selection activeCell="L29" sqref="L29"/>
    </sheetView>
    <sheetView topLeftCell="A7" workbookViewId="1">
      <selection activeCell="T30" sqref="T30"/>
    </sheetView>
  </sheetViews>
  <sheetFormatPr defaultRowHeight="15" x14ac:dyDescent="0.25"/>
  <cols>
    <col min="3" max="3" width="36.42578125" customWidth="1"/>
    <col min="8" max="8" width="10.28515625" customWidth="1"/>
    <col min="14" max="14" width="10.140625" customWidth="1"/>
  </cols>
  <sheetData>
    <row r="3" spans="2:15" ht="16.5" x14ac:dyDescent="0.35">
      <c r="D3" s="56" t="s">
        <v>147</v>
      </c>
      <c r="E3" s="56"/>
      <c r="F3" s="56"/>
      <c r="G3" s="56"/>
    </row>
    <row r="7" spans="2:15" ht="15" customHeight="1" x14ac:dyDescent="0.25">
      <c r="B7" s="17" t="s">
        <v>49</v>
      </c>
      <c r="C7" t="s">
        <v>47</v>
      </c>
      <c r="F7">
        <v>1</v>
      </c>
      <c r="H7" s="21" t="s">
        <v>10</v>
      </c>
      <c r="I7" t="s">
        <v>50</v>
      </c>
      <c r="N7" s="21" t="s">
        <v>3</v>
      </c>
      <c r="O7" t="s">
        <v>4</v>
      </c>
    </row>
    <row r="8" spans="2:15" x14ac:dyDescent="0.25">
      <c r="C8" t="s">
        <v>113</v>
      </c>
      <c r="F8">
        <v>2</v>
      </c>
      <c r="I8" t="s">
        <v>51</v>
      </c>
      <c r="O8" t="s">
        <v>5</v>
      </c>
    </row>
    <row r="9" spans="2:15" x14ac:dyDescent="0.25">
      <c r="C9" t="s">
        <v>48</v>
      </c>
      <c r="F9">
        <v>3</v>
      </c>
      <c r="I9" t="s">
        <v>116</v>
      </c>
      <c r="O9" t="s">
        <v>6</v>
      </c>
    </row>
    <row r="10" spans="2:15" x14ac:dyDescent="0.25">
      <c r="C10" t="s">
        <v>33</v>
      </c>
      <c r="F10">
        <v>4</v>
      </c>
      <c r="I10" t="s">
        <v>117</v>
      </c>
      <c r="O10" t="s">
        <v>7</v>
      </c>
    </row>
    <row r="11" spans="2:15" x14ac:dyDescent="0.25">
      <c r="C11" t="s">
        <v>34</v>
      </c>
      <c r="F11">
        <v>5</v>
      </c>
      <c r="I11" t="s">
        <v>118</v>
      </c>
      <c r="O11" t="s">
        <v>8</v>
      </c>
    </row>
    <row r="12" spans="2:15" x14ac:dyDescent="0.25">
      <c r="C12" t="s">
        <v>35</v>
      </c>
      <c r="F12">
        <v>6</v>
      </c>
      <c r="I12" t="s">
        <v>119</v>
      </c>
      <c r="O12" t="s">
        <v>31</v>
      </c>
    </row>
    <row r="13" spans="2:15" x14ac:dyDescent="0.25">
      <c r="C13" t="s">
        <v>36</v>
      </c>
      <c r="F13">
        <v>7</v>
      </c>
      <c r="I13" t="s">
        <v>120</v>
      </c>
    </row>
    <row r="14" spans="2:15" x14ac:dyDescent="0.25">
      <c r="C14" t="s">
        <v>37</v>
      </c>
      <c r="F14">
        <v>8</v>
      </c>
      <c r="I14" t="s">
        <v>52</v>
      </c>
    </row>
    <row r="15" spans="2:15" x14ac:dyDescent="0.25">
      <c r="C15" t="s">
        <v>38</v>
      </c>
      <c r="F15">
        <v>9</v>
      </c>
      <c r="H15" s="12"/>
      <c r="I15" t="s">
        <v>121</v>
      </c>
      <c r="N15" s="21" t="s">
        <v>9</v>
      </c>
      <c r="O15" t="s">
        <v>54</v>
      </c>
    </row>
    <row r="16" spans="2:15" x14ac:dyDescent="0.25">
      <c r="C16" t="s">
        <v>39</v>
      </c>
      <c r="F16">
        <v>10</v>
      </c>
      <c r="H16" s="12"/>
      <c r="I16" t="s">
        <v>53</v>
      </c>
      <c r="O16" t="s">
        <v>55</v>
      </c>
    </row>
    <row r="17" spans="3:17" x14ac:dyDescent="0.25">
      <c r="C17" t="s">
        <v>40</v>
      </c>
      <c r="F17">
        <v>11</v>
      </c>
      <c r="O17" t="s">
        <v>56</v>
      </c>
    </row>
    <row r="18" spans="3:17" x14ac:dyDescent="0.25">
      <c r="C18" t="s">
        <v>43</v>
      </c>
      <c r="F18">
        <v>12</v>
      </c>
      <c r="O18" t="s">
        <v>57</v>
      </c>
    </row>
    <row r="19" spans="3:17" ht="18" x14ac:dyDescent="0.35">
      <c r="C19" t="s">
        <v>44</v>
      </c>
      <c r="F19">
        <v>13</v>
      </c>
      <c r="O19" t="s">
        <v>58</v>
      </c>
    </row>
    <row r="20" spans="3:17" x14ac:dyDescent="0.25">
      <c r="C20" t="s">
        <v>41</v>
      </c>
      <c r="F20">
        <v>14</v>
      </c>
    </row>
    <row r="21" spans="3:17" ht="18" x14ac:dyDescent="0.35">
      <c r="C21" t="s">
        <v>42</v>
      </c>
      <c r="F21">
        <v>15</v>
      </c>
      <c r="H21" s="65" t="s">
        <v>143</v>
      </c>
      <c r="I21" s="65"/>
      <c r="J21" s="65"/>
      <c r="N21" s="21" t="s">
        <v>11</v>
      </c>
      <c r="O21" t="s">
        <v>59</v>
      </c>
    </row>
    <row r="22" spans="3:17" x14ac:dyDescent="0.25">
      <c r="C22" t="s">
        <v>45</v>
      </c>
      <c r="F22">
        <v>16</v>
      </c>
      <c r="I22" t="s">
        <v>144</v>
      </c>
      <c r="K22" s="3">
        <f>+SUM(UnosPodataka!F22:F25)</f>
        <v>26000</v>
      </c>
      <c r="L22" s="20">
        <v>0</v>
      </c>
      <c r="O22" t="s">
        <v>60</v>
      </c>
    </row>
    <row r="23" spans="3:17" x14ac:dyDescent="0.25">
      <c r="C23" t="s">
        <v>46</v>
      </c>
      <c r="F23">
        <v>17</v>
      </c>
      <c r="I23" t="s">
        <v>145</v>
      </c>
      <c r="K23" s="3">
        <f>+Loan</f>
        <v>10300</v>
      </c>
      <c r="L23" s="20">
        <f>+UnosPodataka!M20</f>
        <v>0.12</v>
      </c>
      <c r="O23" t="s">
        <v>61</v>
      </c>
    </row>
    <row r="24" spans="3:17" x14ac:dyDescent="0.25">
      <c r="C24" t="s">
        <v>115</v>
      </c>
      <c r="F24">
        <v>18</v>
      </c>
      <c r="I24" t="s">
        <v>31</v>
      </c>
      <c r="K24" s="3">
        <f>+Equity</f>
        <v>5000</v>
      </c>
      <c r="L24" s="7">
        <f>+UnosPodataka!M21</f>
        <v>5.8299999999999998E-2</v>
      </c>
      <c r="O24" t="s">
        <v>62</v>
      </c>
    </row>
    <row r="25" spans="3:17" x14ac:dyDescent="0.25">
      <c r="C25" s="16">
        <f>VLOOKUP(Pocetna!M12,C7:F23,4,FALSE)</f>
        <v>12</v>
      </c>
      <c r="J25" t="s">
        <v>146</v>
      </c>
      <c r="K25" s="3">
        <f>SUM(K22:K24)</f>
        <v>41300</v>
      </c>
      <c r="L25" s="7">
        <f>+(K22*L22+K23*L23+K24*L24)/K25</f>
        <v>3.6985472154963679E-2</v>
      </c>
      <c r="O25" t="s">
        <v>114</v>
      </c>
    </row>
    <row r="26" spans="3:17" x14ac:dyDescent="0.25">
      <c r="C26" s="11"/>
      <c r="O26" t="s">
        <v>142</v>
      </c>
    </row>
    <row r="27" spans="3:17" x14ac:dyDescent="0.25">
      <c r="O27" t="s">
        <v>64</v>
      </c>
    </row>
    <row r="28" spans="3:17" x14ac:dyDescent="0.25">
      <c r="C28" s="28"/>
      <c r="N28" s="21" t="s">
        <v>12</v>
      </c>
    </row>
    <row r="29" spans="3:17" x14ac:dyDescent="0.25">
      <c r="O29" t="s">
        <v>13</v>
      </c>
      <c r="Q29" s="3">
        <v>0.2</v>
      </c>
    </row>
    <row r="30" spans="3:17" x14ac:dyDescent="0.25">
      <c r="O30" t="s">
        <v>14</v>
      </c>
      <c r="Q30" s="3">
        <v>0.22</v>
      </c>
    </row>
    <row r="31" spans="3:17" x14ac:dyDescent="0.25">
      <c r="O31" t="s">
        <v>15</v>
      </c>
      <c r="Q31" s="3">
        <v>0.27</v>
      </c>
    </row>
    <row r="32" spans="3:17" x14ac:dyDescent="0.25">
      <c r="O32" t="s">
        <v>16</v>
      </c>
      <c r="Q32" s="3">
        <v>0.28000000000000003</v>
      </c>
    </row>
    <row r="33" spans="15:17" x14ac:dyDescent="0.25">
      <c r="O33" t="s">
        <v>17</v>
      </c>
      <c r="Q33" s="3">
        <v>0.8</v>
      </c>
    </row>
    <row r="34" spans="15:17" x14ac:dyDescent="0.25">
      <c r="O34" t="s">
        <v>18</v>
      </c>
      <c r="Q34" s="3">
        <v>0.33</v>
      </c>
    </row>
    <row r="35" spans="15:17" x14ac:dyDescent="0.25">
      <c r="O35" t="s">
        <v>22</v>
      </c>
      <c r="Q35" s="3">
        <v>4.9000000000000002E-2</v>
      </c>
    </row>
    <row r="36" spans="15:17" x14ac:dyDescent="0.25">
      <c r="O36" t="s">
        <v>19</v>
      </c>
      <c r="Q36" s="3">
        <v>0.4</v>
      </c>
    </row>
    <row r="37" spans="15:17" x14ac:dyDescent="0.25">
      <c r="O37" t="s">
        <v>20</v>
      </c>
      <c r="Q37" s="3">
        <v>0.33</v>
      </c>
    </row>
    <row r="38" spans="15:17" x14ac:dyDescent="0.25">
      <c r="O38" t="s">
        <v>21</v>
      </c>
      <c r="Q38" s="3">
        <v>0</v>
      </c>
    </row>
    <row r="39" spans="15:17" x14ac:dyDescent="0.25">
      <c r="O39" t="s">
        <v>132</v>
      </c>
      <c r="Q39" s="8">
        <f>SUM(KonvFaktor!E21)</f>
        <v>0.24905263157894739</v>
      </c>
    </row>
    <row r="40" spans="15:17" x14ac:dyDescent="0.25">
      <c r="O40" t="s">
        <v>148</v>
      </c>
      <c r="Q40" s="3">
        <v>0.22</v>
      </c>
    </row>
  </sheetData>
  <sheetProtection selectLockedCells="1"/>
  <mergeCells count="2">
    <mergeCell ref="H21:J21"/>
    <mergeCell ref="D3:G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P32"/>
  <sheetViews>
    <sheetView workbookViewId="0">
      <selection activeCell="M22" sqref="M22"/>
    </sheetView>
    <sheetView topLeftCell="B1" workbookViewId="1">
      <selection activeCell="R29" sqref="R29"/>
    </sheetView>
  </sheetViews>
  <sheetFormatPr defaultRowHeight="15" x14ac:dyDescent="0.25"/>
  <cols>
    <col min="5" max="5" width="18.2851562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56" t="s">
        <v>147</v>
      </c>
      <c r="G3" s="56"/>
      <c r="H3" s="56"/>
      <c r="I3" s="56"/>
    </row>
    <row r="7" spans="2:16" x14ac:dyDescent="0.25">
      <c r="B7" s="70" t="s">
        <v>65</v>
      </c>
      <c r="C7" s="70"/>
      <c r="D7" s="70"/>
      <c r="E7" s="70"/>
      <c r="F7" s="1" t="s">
        <v>1</v>
      </c>
      <c r="I7" s="68" t="s">
        <v>65</v>
      </c>
      <c r="J7" s="68"/>
      <c r="K7" s="68"/>
      <c r="L7" s="68"/>
      <c r="M7" s="2" t="s">
        <v>23</v>
      </c>
    </row>
    <row r="8" spans="2:16" x14ac:dyDescent="0.25">
      <c r="O8" s="60" t="s">
        <v>130</v>
      </c>
      <c r="P8" s="60"/>
    </row>
    <row r="9" spans="2:16" x14ac:dyDescent="0.25">
      <c r="B9" s="66" t="s">
        <v>50</v>
      </c>
      <c r="C9" s="66"/>
      <c r="D9" s="66"/>
      <c r="E9" s="66"/>
      <c r="F9" s="9">
        <v>500</v>
      </c>
      <c r="I9" s="66" t="s">
        <v>54</v>
      </c>
      <c r="J9" s="66"/>
      <c r="K9" s="66"/>
      <c r="L9" s="66"/>
      <c r="M9" s="9">
        <v>100</v>
      </c>
      <c r="O9" s="60"/>
      <c r="P9" s="60"/>
    </row>
    <row r="10" spans="2:16" x14ac:dyDescent="0.25">
      <c r="B10" s="66" t="s">
        <v>51</v>
      </c>
      <c r="C10" s="66"/>
      <c r="D10" s="66"/>
      <c r="E10" s="66"/>
      <c r="F10" s="9">
        <v>300</v>
      </c>
      <c r="I10" s="66" t="s">
        <v>55</v>
      </c>
      <c r="J10" s="66"/>
      <c r="K10" s="66"/>
      <c r="L10" s="66"/>
      <c r="M10" s="7">
        <v>1</v>
      </c>
    </row>
    <row r="11" spans="2:16" x14ac:dyDescent="0.25">
      <c r="B11" s="66" t="s">
        <v>116</v>
      </c>
      <c r="C11" s="66"/>
      <c r="D11" s="66"/>
      <c r="E11" s="66"/>
      <c r="F11" s="9">
        <v>28000</v>
      </c>
      <c r="I11" s="66" t="s">
        <v>56</v>
      </c>
      <c r="J11" s="66"/>
      <c r="K11" s="66"/>
      <c r="L11" s="66"/>
      <c r="M11" s="25">
        <v>0.03</v>
      </c>
      <c r="O11" s="61" t="s">
        <v>131</v>
      </c>
      <c r="P11" s="61"/>
    </row>
    <row r="12" spans="2:16" x14ac:dyDescent="0.25">
      <c r="B12" s="66" t="s">
        <v>117</v>
      </c>
      <c r="C12" s="66"/>
      <c r="D12" s="66"/>
      <c r="E12" s="66"/>
      <c r="F12" s="9">
        <v>5000</v>
      </c>
      <c r="I12" s="66" t="s">
        <v>57</v>
      </c>
      <c r="J12" s="66"/>
      <c r="K12" s="66"/>
      <c r="L12" s="66"/>
      <c r="M12" s="25">
        <v>0.1</v>
      </c>
      <c r="O12" s="61"/>
      <c r="P12" s="61"/>
    </row>
    <row r="13" spans="2:16" x14ac:dyDescent="0.25">
      <c r="B13" s="66" t="s">
        <v>118</v>
      </c>
      <c r="C13" s="66"/>
      <c r="D13" s="66"/>
      <c r="E13" s="66"/>
      <c r="F13" s="9">
        <v>3000</v>
      </c>
      <c r="I13" s="66" t="s">
        <v>68</v>
      </c>
      <c r="J13" s="66"/>
      <c r="K13" s="66"/>
      <c r="L13" s="66"/>
      <c r="M13" s="26">
        <v>97.44</v>
      </c>
    </row>
    <row r="14" spans="2:16" x14ac:dyDescent="0.25">
      <c r="B14" s="66" t="s">
        <v>119</v>
      </c>
      <c r="C14" s="66"/>
      <c r="D14" s="66"/>
      <c r="E14" s="66"/>
      <c r="F14" s="9">
        <v>2000</v>
      </c>
      <c r="I14" s="22"/>
      <c r="J14" s="22"/>
      <c r="K14" s="22"/>
      <c r="L14" s="22"/>
      <c r="M14" s="8"/>
    </row>
    <row r="15" spans="2:16" x14ac:dyDescent="0.25">
      <c r="B15" s="66" t="s">
        <v>52</v>
      </c>
      <c r="C15" s="66"/>
      <c r="D15" s="66"/>
      <c r="E15" s="66"/>
      <c r="F15" s="9">
        <v>1000</v>
      </c>
      <c r="I15" s="22"/>
      <c r="J15" s="22"/>
      <c r="K15" s="22"/>
      <c r="L15" s="22"/>
      <c r="M15" s="8"/>
    </row>
    <row r="16" spans="2:16" x14ac:dyDescent="0.25">
      <c r="B16" s="66" t="s">
        <v>121</v>
      </c>
      <c r="C16" s="66"/>
      <c r="D16" s="66"/>
      <c r="E16" s="66"/>
      <c r="F16" s="9">
        <v>1000</v>
      </c>
      <c r="I16" s="22"/>
      <c r="J16" s="22"/>
      <c r="K16" s="22"/>
      <c r="L16" s="22"/>
      <c r="M16" s="8"/>
    </row>
    <row r="17" spans="2:13" x14ac:dyDescent="0.25">
      <c r="B17" s="66" t="s">
        <v>53</v>
      </c>
      <c r="C17" s="66"/>
      <c r="D17" s="66"/>
      <c r="E17" s="66"/>
      <c r="F17" s="9">
        <v>500</v>
      </c>
      <c r="I17" s="22"/>
      <c r="J17" s="22"/>
      <c r="K17" s="22"/>
      <c r="L17" s="22"/>
      <c r="M17" s="8"/>
    </row>
    <row r="18" spans="2:13" x14ac:dyDescent="0.25">
      <c r="B18" s="69"/>
      <c r="C18" s="69"/>
      <c r="D18" s="69"/>
      <c r="E18" s="69"/>
      <c r="F18" s="9"/>
      <c r="I18" s="71"/>
      <c r="J18" s="71"/>
      <c r="K18" s="71"/>
      <c r="L18" s="71"/>
      <c r="M18" s="7"/>
    </row>
    <row r="19" spans="2:13" x14ac:dyDescent="0.25">
      <c r="B19" s="66"/>
      <c r="C19" s="66"/>
      <c r="D19" s="66"/>
      <c r="E19" s="66"/>
      <c r="F19" s="9"/>
      <c r="I19" s="66" t="s">
        <v>62</v>
      </c>
      <c r="J19" s="66"/>
      <c r="K19" s="66"/>
      <c r="L19" s="66"/>
      <c r="M19" s="25">
        <v>0.06</v>
      </c>
    </row>
    <row r="20" spans="2:13" x14ac:dyDescent="0.25">
      <c r="D20" s="67" t="s">
        <v>66</v>
      </c>
      <c r="E20" s="67"/>
      <c r="F20" s="3">
        <f>SUM(F9:F19)</f>
        <v>41300</v>
      </c>
      <c r="I20" s="66" t="s">
        <v>63</v>
      </c>
      <c r="J20" s="66"/>
      <c r="K20" s="66"/>
      <c r="L20" s="66"/>
      <c r="M20" s="7">
        <v>0.12</v>
      </c>
    </row>
    <row r="21" spans="2:13" x14ac:dyDescent="0.25">
      <c r="D21" s="67" t="s">
        <v>67</v>
      </c>
      <c r="E21" s="67"/>
      <c r="F21" s="3">
        <f>F20*(1+PDV)</f>
        <v>49560</v>
      </c>
      <c r="I21" s="66" t="s">
        <v>142</v>
      </c>
      <c r="J21" s="66"/>
      <c r="K21" s="66"/>
      <c r="L21" s="66"/>
      <c r="M21" s="7">
        <v>5.8299999999999998E-2</v>
      </c>
    </row>
    <row r="22" spans="2:13" x14ac:dyDescent="0.25">
      <c r="B22" s="66" t="s">
        <v>4</v>
      </c>
      <c r="C22" s="66"/>
      <c r="D22" s="66"/>
      <c r="E22" s="66"/>
      <c r="F22" s="3">
        <v>8000</v>
      </c>
      <c r="I22" s="66" t="s">
        <v>60</v>
      </c>
      <c r="J22" s="66"/>
      <c r="K22" s="66"/>
      <c r="L22" s="66"/>
      <c r="M22" s="27">
        <v>5</v>
      </c>
    </row>
    <row r="23" spans="2:13" x14ac:dyDescent="0.25">
      <c r="B23" s="66" t="s">
        <v>6</v>
      </c>
      <c r="C23" s="66"/>
      <c r="D23" s="66"/>
      <c r="E23" s="66"/>
      <c r="F23" s="3">
        <v>18000</v>
      </c>
      <c r="I23" s="66" t="s">
        <v>64</v>
      </c>
      <c r="J23" s="66"/>
      <c r="K23" s="66"/>
      <c r="L23" s="66"/>
      <c r="M23" s="9" t="s">
        <v>132</v>
      </c>
    </row>
    <row r="24" spans="2:13" x14ac:dyDescent="0.25">
      <c r="B24" s="66"/>
      <c r="C24" s="66"/>
      <c r="D24" s="66"/>
      <c r="E24" s="66"/>
      <c r="F24" s="3"/>
      <c r="I24" s="66" t="s">
        <v>69</v>
      </c>
      <c r="J24" s="66"/>
      <c r="K24" s="66"/>
      <c r="L24" s="66"/>
      <c r="M24" s="3">
        <f>VLOOKUP(M23,PomTab1!O29:Q39,3,FALSE)</f>
        <v>0.24905263157894739</v>
      </c>
    </row>
    <row r="25" spans="2:13" x14ac:dyDescent="0.25">
      <c r="B25" s="66"/>
      <c r="C25" s="66"/>
      <c r="D25" s="66"/>
      <c r="E25" s="66"/>
      <c r="I25" s="66" t="s">
        <v>61</v>
      </c>
      <c r="J25" s="66"/>
      <c r="K25" s="66"/>
      <c r="L25" s="66"/>
      <c r="M25" s="10">
        <v>20</v>
      </c>
    </row>
    <row r="26" spans="2:13" x14ac:dyDescent="0.25">
      <c r="B26" s="66"/>
      <c r="C26" s="66"/>
      <c r="D26" s="66"/>
      <c r="E26" s="66"/>
    </row>
    <row r="27" spans="2:13" x14ac:dyDescent="0.25">
      <c r="B27" s="66" t="s">
        <v>31</v>
      </c>
      <c r="C27" s="66"/>
      <c r="D27" s="66"/>
      <c r="E27" s="66"/>
      <c r="F27" s="3">
        <v>5000</v>
      </c>
      <c r="I27" s="66"/>
      <c r="J27" s="66"/>
      <c r="K27" s="66"/>
      <c r="L27" s="66"/>
      <c r="M27" s="13"/>
    </row>
    <row r="28" spans="2:13" x14ac:dyDescent="0.25">
      <c r="E28" s="5" t="s">
        <v>70</v>
      </c>
      <c r="F28" s="3">
        <f>IF(SUM(F22:F27)&gt;F20,FALSE,SUM(F22:F27))</f>
        <v>31000</v>
      </c>
      <c r="I28" s="66"/>
      <c r="J28" s="66"/>
      <c r="K28" s="66"/>
      <c r="L28" s="66"/>
      <c r="M28" s="3"/>
    </row>
    <row r="29" spans="2:13" x14ac:dyDescent="0.25">
      <c r="F29" s="3"/>
      <c r="I29" s="66"/>
      <c r="J29" s="66"/>
      <c r="K29" s="66"/>
      <c r="L29" s="66"/>
      <c r="M29" s="13"/>
    </row>
    <row r="30" spans="2:13" x14ac:dyDescent="0.25">
      <c r="E30" s="4" t="s">
        <v>71</v>
      </c>
      <c r="F30" s="3">
        <f>F20-F28</f>
        <v>10300</v>
      </c>
    </row>
    <row r="32" spans="2:13" x14ac:dyDescent="0.25">
      <c r="H32" s="45"/>
    </row>
  </sheetData>
  <sheetProtection selectLockedCells="1"/>
  <mergeCells count="40">
    <mergeCell ref="F3:I3"/>
    <mergeCell ref="I19:L19"/>
    <mergeCell ref="I18:L18"/>
    <mergeCell ref="I27:L27"/>
    <mergeCell ref="I28:L28"/>
    <mergeCell ref="I29:L29"/>
    <mergeCell ref="I20:L20"/>
    <mergeCell ref="I22:L22"/>
    <mergeCell ref="I23:L23"/>
    <mergeCell ref="I24:L24"/>
    <mergeCell ref="I25:L25"/>
    <mergeCell ref="I21:L21"/>
    <mergeCell ref="B26:E26"/>
    <mergeCell ref="D21:E21"/>
    <mergeCell ref="D20:E20"/>
    <mergeCell ref="B27:E27"/>
    <mergeCell ref="I7:L7"/>
    <mergeCell ref="B22:E22"/>
    <mergeCell ref="B23:E23"/>
    <mergeCell ref="B24:E24"/>
    <mergeCell ref="B25:E25"/>
    <mergeCell ref="B12:E12"/>
    <mergeCell ref="B13:E13"/>
    <mergeCell ref="B18:E18"/>
    <mergeCell ref="B19:E19"/>
    <mergeCell ref="B7:E7"/>
    <mergeCell ref="B9:E9"/>
    <mergeCell ref="B10:E10"/>
    <mergeCell ref="O8:P9"/>
    <mergeCell ref="O11:P12"/>
    <mergeCell ref="B17:E17"/>
    <mergeCell ref="B16:E16"/>
    <mergeCell ref="B15:E15"/>
    <mergeCell ref="B14:E14"/>
    <mergeCell ref="B11:E11"/>
    <mergeCell ref="I9:L9"/>
    <mergeCell ref="I10:L10"/>
    <mergeCell ref="I11:L11"/>
    <mergeCell ref="I12:L12"/>
    <mergeCell ref="I13:L13"/>
  </mergeCells>
  <dataValidations count="15">
    <dataValidation type="whole" allowBlank="1" showInputMessage="1" showErrorMessage="1" errorTitle="Restriction" error="Ne može biti više od 1.000.000 EUR" promptTitle="COSTSN" prompt="Unesi planirane troškove grupe pozicija" sqref="F9:F19">
      <formula1>0</formula1>
      <formula2>1000000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3:F26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type="whole" allowBlank="1" showInputMessage="1" showErrorMessage="1" errorTitle="Restriction" error="Iznos ne može biti veći od 110 EUR/t CO2" promptTitle="CO2TAX" prompt="Preporučuje se iznos 55 EUR/t CO2." sqref="M14:M17">
      <formula1>0</formula1>
      <formula2>110</formula2>
    </dataValidation>
    <dataValidation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9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20"/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2">
      <formula1>0</formula1>
      <formula2>20</formula2>
    </dataValidation>
    <dataValidation type="whole" allowBlank="1" showInputMessage="1" showErrorMessage="1" errorTitle="Restriction" error="Maksimalno 20 godina" promptTitle="Vremeski okvir projekta" prompt="Preporučuje se:_x000a_7 godina za TS ventile_x000a_15 godina za SCADA_x000a_20 godina za ostalo" sqref="M25">
      <formula1>0</formula1>
      <formula2>20</formula2>
    </dataValidation>
    <dataValidation type="whole" allowBlank="1" showInputMessage="1" showErrorMessage="1" errorTitle="Restriction" error="Maksimalni iznos do 200.000 EUR" promptTitle="Grant scheme" prompt="Unesi iznos granta ili učešća krajnjih korisnika ili sopstveni kapital javne ESCO kompanije" sqref="F27">
      <formula1>0</formula1>
      <formula2>200000</formula2>
    </dataValidation>
    <dataValidation type="whole" allowBlank="1" showInputMessage="1" showErrorMessage="1" errorTitle="Restriction" error="Maksimalni iznos do 1.000.000 EUR" promptTitle="Grant scheme" prompt="Unesi iznos granta ili učešća krajnjih korisnika ili sopstveni kapital javne ESCO kompanije" sqref="F22">
      <formula1>0</formula1>
      <formula2>1000000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44 EUR/t CO2." sqref="M13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1"/>
  </dataValidations>
  <hyperlinks>
    <hyperlink ref="O8:P9" location="Pocetna!M9" display="NAZAD"/>
    <hyperlink ref="O11:P12" location="TrosakEnergije!B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PomTab1!$O$7:$O$13</xm:f>
          </x14:formula1>
          <xm:sqref>B22:E27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PomTab1!$O$15:$O$20</xm:f>
          </x14:formula1>
          <xm:sqref>I13:L17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PomTab1!$O$15:$O$20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PomTab1!$O$15:$O$20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PomTab1!$O$15:$O$20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PomTab1!$O$15:$O$20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PomTab1!$O$29:$O$39</xm:f>
          </x14:formula1>
          <xm:sqref>M23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PomTab1!$I$7:$I$17</xm:f>
          </x14:formula1>
          <xm:sqref>B9:E19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PomTab1!$O$21:$O$27</xm:f>
          </x14:formula1>
          <xm:sqref>I25:L25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PomTab1!$O$21:$O$27</xm:f>
          </x14:formula1>
          <xm:sqref>I20:I21 J20:L20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PomTab1!$O$21:$O$27</xm:f>
          </x14:formula1>
          <xm:sqref>I19:L19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PomTab1!$O$21:$O$27</xm:f>
          </x14:formula1>
          <xm:sqref>I22:L22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PomTab1!$O$21:$O$27</xm:f>
          </x14:formula1>
          <xm:sqref>I23:L24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R22"/>
  <sheetViews>
    <sheetView workbookViewId="0">
      <selection activeCell="J16" sqref="J16"/>
    </sheetView>
    <sheetView workbookViewId="1">
      <selection activeCell="N13" sqref="N13"/>
    </sheetView>
  </sheetViews>
  <sheetFormatPr defaultRowHeight="15" x14ac:dyDescent="0.25"/>
  <cols>
    <col min="9" max="9" width="10.28515625" customWidth="1"/>
    <col min="10" max="10" width="14" customWidth="1"/>
    <col min="11" max="12" width="0" hidden="1" customWidth="1"/>
  </cols>
  <sheetData>
    <row r="3" spans="2:18" ht="16.5" x14ac:dyDescent="0.35">
      <c r="F3" s="56" t="s">
        <v>147</v>
      </c>
      <c r="G3" s="56"/>
      <c r="H3" s="56"/>
      <c r="I3" s="56"/>
    </row>
    <row r="7" spans="2:18" ht="21" x14ac:dyDescent="0.35">
      <c r="B7" s="63" t="s">
        <v>72</v>
      </c>
      <c r="C7" s="63"/>
      <c r="D7" s="63"/>
      <c r="E7" s="63"/>
      <c r="F7" s="63"/>
      <c r="G7" s="63"/>
    </row>
    <row r="9" spans="2:18" x14ac:dyDescent="0.25">
      <c r="B9" s="66" t="s">
        <v>73</v>
      </c>
      <c r="C9" s="66"/>
      <c r="D9" s="66"/>
      <c r="E9" s="66"/>
      <c r="I9" s="6" t="s">
        <v>24</v>
      </c>
      <c r="J9" s="14">
        <f>AREA*J15*365*eta*etagrid/1000</f>
        <v>75.908319999999989</v>
      </c>
      <c r="N9" s="60" t="s">
        <v>130</v>
      </c>
      <c r="O9" s="60"/>
      <c r="Q9" s="61" t="s">
        <v>131</v>
      </c>
      <c r="R9" s="61"/>
    </row>
    <row r="10" spans="2:18" x14ac:dyDescent="0.25">
      <c r="B10" s="66" t="s">
        <v>74</v>
      </c>
      <c r="C10" s="66"/>
      <c r="D10" s="66"/>
      <c r="E10" s="66"/>
      <c r="I10" s="6" t="s">
        <v>29</v>
      </c>
      <c r="J10" s="14">
        <v>12080</v>
      </c>
      <c r="N10" s="60"/>
      <c r="O10" s="60"/>
      <c r="Q10" s="61"/>
      <c r="R10" s="61"/>
    </row>
    <row r="11" spans="2:18" x14ac:dyDescent="0.25">
      <c r="B11" s="66" t="s">
        <v>75</v>
      </c>
      <c r="C11" s="66"/>
      <c r="D11" s="66"/>
      <c r="E11" s="66"/>
      <c r="I11" s="6" t="s">
        <v>29</v>
      </c>
      <c r="J11" s="14">
        <v>8900</v>
      </c>
    </row>
    <row r="12" spans="2:18" ht="17.25" x14ac:dyDescent="0.25">
      <c r="B12" s="66" t="s">
        <v>122</v>
      </c>
      <c r="C12" s="66"/>
      <c r="D12" s="66"/>
      <c r="E12" s="66"/>
      <c r="I12" s="6" t="s">
        <v>123</v>
      </c>
      <c r="J12" s="14">
        <v>100</v>
      </c>
    </row>
    <row r="13" spans="2:18" x14ac:dyDescent="0.25">
      <c r="B13" s="66" t="s">
        <v>124</v>
      </c>
      <c r="C13" s="66"/>
      <c r="D13" s="66"/>
      <c r="E13" s="66"/>
      <c r="I13" s="6" t="s">
        <v>30</v>
      </c>
      <c r="J13" s="24">
        <v>0.67</v>
      </c>
    </row>
    <row r="14" spans="2:18" x14ac:dyDescent="0.25">
      <c r="B14" s="66" t="s">
        <v>76</v>
      </c>
      <c r="C14" s="66"/>
      <c r="D14" s="66"/>
      <c r="E14" s="66"/>
      <c r="I14" s="6" t="s">
        <v>30</v>
      </c>
      <c r="J14" s="24">
        <v>0.97</v>
      </c>
    </row>
    <row r="15" spans="2:18" ht="17.25" x14ac:dyDescent="0.25">
      <c r="B15" s="66" t="s">
        <v>125</v>
      </c>
      <c r="C15" s="66"/>
      <c r="D15" s="66"/>
      <c r="E15" s="66"/>
      <c r="I15" s="6" t="s">
        <v>126</v>
      </c>
      <c r="J15" s="14">
        <v>3.2</v>
      </c>
    </row>
    <row r="16" spans="2:18" x14ac:dyDescent="0.25">
      <c r="B16" s="66" t="s">
        <v>77</v>
      </c>
      <c r="C16" s="66"/>
      <c r="D16" s="66"/>
      <c r="E16" s="66"/>
      <c r="I16" s="6" t="s">
        <v>32</v>
      </c>
      <c r="J16" s="14">
        <v>5.0000000000000001E-3</v>
      </c>
    </row>
    <row r="17" spans="2:12" x14ac:dyDescent="0.25">
      <c r="B17" s="66" t="s">
        <v>78</v>
      </c>
      <c r="C17" s="66"/>
      <c r="D17" s="66"/>
      <c r="E17" s="66"/>
      <c r="I17" s="6" t="s">
        <v>127</v>
      </c>
      <c r="J17" s="14">
        <v>1800</v>
      </c>
    </row>
    <row r="18" spans="2:12" x14ac:dyDescent="0.25">
      <c r="B18" s="66" t="s">
        <v>128</v>
      </c>
      <c r="C18" s="66"/>
      <c r="D18" s="66"/>
      <c r="E18" s="66"/>
      <c r="I18" s="6" t="s">
        <v>24</v>
      </c>
      <c r="J18" s="14">
        <f>EPOW*WHOUR</f>
        <v>9</v>
      </c>
    </row>
    <row r="20" spans="2:12" ht="18" x14ac:dyDescent="0.35">
      <c r="B20" t="s">
        <v>79</v>
      </c>
      <c r="I20" s="59" t="s">
        <v>17</v>
      </c>
      <c r="J20" s="59"/>
    </row>
    <row r="21" spans="2:12" x14ac:dyDescent="0.25">
      <c r="B21" s="66" t="s">
        <v>129</v>
      </c>
      <c r="C21" s="66"/>
      <c r="D21" s="66"/>
      <c r="E21" s="66"/>
      <c r="L21" t="b">
        <v>1</v>
      </c>
    </row>
    <row r="22" spans="2:12" ht="18" x14ac:dyDescent="0.35">
      <c r="B22" t="s">
        <v>80</v>
      </c>
      <c r="J22" s="3">
        <f>VLOOKUP(I20,PomTab1!O29:Q39,3,FALSE)-IF(CERT=FALSE,EENERGIJA*0.9/HEAT,0)</f>
        <v>0.8</v>
      </c>
      <c r="L22" s="6"/>
    </row>
  </sheetData>
  <sheetProtection selectLockedCells="1"/>
  <mergeCells count="16">
    <mergeCell ref="F3:I3"/>
    <mergeCell ref="B21:E21"/>
    <mergeCell ref="B15:E15"/>
    <mergeCell ref="B13:E13"/>
    <mergeCell ref="I20:J20"/>
    <mergeCell ref="B18:E18"/>
    <mergeCell ref="B16:E16"/>
    <mergeCell ref="B14:E14"/>
    <mergeCell ref="B17:E17"/>
    <mergeCell ref="N9:O10"/>
    <mergeCell ref="Q9:R10"/>
    <mergeCell ref="B12:E12"/>
    <mergeCell ref="B9:E9"/>
    <mergeCell ref="B7:G7"/>
    <mergeCell ref="B11:E11"/>
    <mergeCell ref="B10:E10"/>
  </mergeCells>
  <dataValidations count="3">
    <dataValidation type="whole" allowBlank="1" showInputMessage="1" showErrorMessage="1" promptTitle="WHOURS" prompt="Preporučuje se 500 - 700 za javne zgrade i toplotne pumpe vazduh/voda, 1100 - 1300 za daljinsko grejanje sa prekidom, 1300 - 1500 za daljinsko grejanje bez prekida, 3000 - 3600 za toplotne pumpe voda/voda" sqref="J17">
      <formula1>500</formula1>
      <formula2>3600</formula2>
    </dataValidation>
    <dataValidation type="decimal" allowBlank="1" showInputMessage="1" showErrorMessage="1" errorTitle="Restriction" error="Dozvoljeno najviše 30.000 t/a" promptTitle="Biomass" prompt="Potrošnja biomase" sqref="J18">
      <formula1>0</formula1>
      <formula2>30000</formula2>
    </dataValidation>
    <dataValidation allowBlank="1" showInputMessage="1" showErrorMessage="1" promptTitle="CenaKupci" prompt="Prema analizi TOPS-a prosečna cena koju su kupci plaćali bila je 8876 RSD/MWh toplinske energije, a medijana je iznosila 8100 RSD/MWh." sqref="J11"/>
  </dataValidations>
  <hyperlinks>
    <hyperlink ref="N9:O10" location="UnosPodataka!O3" display="NAZAD"/>
    <hyperlink ref="Q9:R10" location="Anuiteti!B2" display="DALJE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7" r:id="rId4" name="Check Box 5">
              <controlPr locked="0" defaultSize="0" autoFill="0" autoLine="0" autoPict="0">
                <anchor moveWithCells="1">
                  <from>
                    <xdr:col>9</xdr:col>
                    <xdr:colOff>9525</xdr:colOff>
                    <xdr:row>20</xdr:row>
                    <xdr:rowOff>9525</xdr:rowOff>
                  </from>
                  <to>
                    <xdr:col>9</xdr:col>
                    <xdr:colOff>923925</xdr:colOff>
                    <xdr:row>21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striction" error="Samo navedeno u listi" promptTitle="REFFUEL" prompt="Referentno gorivo za obračun smanjenja emisija CO2">
          <x14:formula1>
            <xm:f>PomTab1!$O$29:$O$39</xm:f>
          </x14:formula1>
          <xm:sqref>I20:J20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32"/>
  <sheetViews>
    <sheetView workbookViewId="0">
      <selection activeCell="D22" sqref="D22"/>
    </sheetView>
    <sheetView workbookViewId="1"/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56" t="s">
        <v>147</v>
      </c>
      <c r="E3" s="56"/>
      <c r="F3" s="56"/>
      <c r="G3" s="56"/>
    </row>
    <row r="7" spans="2:13" ht="21" x14ac:dyDescent="0.35">
      <c r="B7" s="63" t="s">
        <v>81</v>
      </c>
      <c r="C7" s="63"/>
      <c r="D7" s="63"/>
      <c r="E7" s="63"/>
      <c r="F7" s="63"/>
      <c r="G7" s="63"/>
    </row>
    <row r="9" spans="2:13" x14ac:dyDescent="0.25">
      <c r="B9" t="s">
        <v>82</v>
      </c>
      <c r="D9" s="6" t="s">
        <v>1</v>
      </c>
      <c r="E9" s="15">
        <f>Loan</f>
        <v>10300</v>
      </c>
      <c r="I9" s="60" t="s">
        <v>130</v>
      </c>
      <c r="J9" s="60"/>
      <c r="L9" s="61" t="s">
        <v>131</v>
      </c>
      <c r="M9" s="61"/>
    </row>
    <row r="10" spans="2:13" x14ac:dyDescent="0.25">
      <c r="I10" s="60"/>
      <c r="J10" s="60"/>
      <c r="L10" s="61"/>
      <c r="M10" s="61"/>
    </row>
    <row r="11" spans="2:13" x14ac:dyDescent="0.25">
      <c r="B11" s="16" t="s">
        <v>25</v>
      </c>
      <c r="C11" s="16" t="s">
        <v>83</v>
      </c>
      <c r="D11" s="16" t="s">
        <v>84</v>
      </c>
      <c r="E11" s="16" t="s">
        <v>85</v>
      </c>
    </row>
    <row r="13" spans="2:13" x14ac:dyDescent="0.25">
      <c r="B13">
        <v>1</v>
      </c>
      <c r="C13" s="3">
        <f>E9</f>
        <v>10300</v>
      </c>
      <c r="D13" s="3">
        <f>IF(UnosPodataka!M20=0,"",UnosPodataka!$M$20*Anuiteti!$E$9)</f>
        <v>1236</v>
      </c>
      <c r="E13" s="3">
        <f>PMT(UnosPodataka!$M$20,UnosPodataka!$M$22,Anuiteti!$E$9)</f>
        <v>-2857.3202389928038</v>
      </c>
    </row>
    <row r="14" spans="2:13" x14ac:dyDescent="0.25">
      <c r="B14">
        <f>IF(B13&lt;UnosPodataka!$M$22,B13+1,"")</f>
        <v>2</v>
      </c>
      <c r="C14" s="3">
        <f>IF(B14&lt;&gt;"",SUM(C13:E13),"")</f>
        <v>8678.6797610071953</v>
      </c>
      <c r="D14" s="3">
        <f>IF(B14&lt;&gt;"",C14*UnosPodataka!$M$20,"")</f>
        <v>1041.4415713208634</v>
      </c>
      <c r="E14" s="3">
        <f>IF(B14&lt;&gt;"",PMT(UnosPodataka!$M$20,UnosPodataka!$M$22,Anuiteti!$E$9),"")</f>
        <v>-2857.3202389928038</v>
      </c>
    </row>
    <row r="15" spans="2:13" x14ac:dyDescent="0.25">
      <c r="B15">
        <f>IF(B14&lt;UnosPodataka!$M$22,B14+1,"")</f>
        <v>3</v>
      </c>
      <c r="C15" s="3">
        <f t="shared" ref="C15:C32" si="0">IF(B15&lt;&gt;"",SUM(C14:E14),"")</f>
        <v>6862.8010933352552</v>
      </c>
      <c r="D15" s="3">
        <f>IF(B15&lt;&gt;"",C15*UnosPodataka!$M$20,"")</f>
        <v>823.53613120023056</v>
      </c>
      <c r="E15" s="3">
        <f>IF(B15&lt;&gt;"",PMT(UnosPodataka!$M$20,UnosPodataka!$M$22,Anuiteti!$E$9),"")</f>
        <v>-2857.3202389928038</v>
      </c>
    </row>
    <row r="16" spans="2:13" x14ac:dyDescent="0.25">
      <c r="B16">
        <f>IF(B15&lt;UnosPodataka!$M$22,B15+1,"")</f>
        <v>4</v>
      </c>
      <c r="C16" s="3">
        <f t="shared" si="0"/>
        <v>4829.0169855426821</v>
      </c>
      <c r="D16" s="3">
        <f>IF(B16&lt;&gt;"",C16*UnosPodataka!$M$20,"")</f>
        <v>579.48203826512179</v>
      </c>
      <c r="E16" s="3">
        <f>IF(B16&lt;&gt;"",PMT(UnosPodataka!$M$20,UnosPodataka!$M$22,Anuiteti!$E$9),"")</f>
        <v>-2857.3202389928038</v>
      </c>
    </row>
    <row r="17" spans="2:5" x14ac:dyDescent="0.25">
      <c r="B17">
        <f>IF(B16&lt;UnosPodataka!$M$22,B16+1,"")</f>
        <v>5</v>
      </c>
      <c r="C17" s="3">
        <f t="shared" si="0"/>
        <v>2551.1787848149997</v>
      </c>
      <c r="D17" s="3">
        <f>IF(B17&lt;&gt;"",C17*UnosPodataka!$M$20,"")</f>
        <v>306.14145417779997</v>
      </c>
      <c r="E17" s="3">
        <f>IF(B17&lt;&gt;"",PMT(UnosPodataka!$M$20,UnosPodataka!$M$22,Anuiteti!$E$9),"")</f>
        <v>-2857.3202389928038</v>
      </c>
    </row>
    <row r="18" spans="2:5" x14ac:dyDescent="0.25">
      <c r="B18" t="str">
        <f>IF(B17&lt;UnosPodataka!$M$22,B17+1,"")</f>
        <v/>
      </c>
      <c r="C18" s="3" t="str">
        <f t="shared" si="0"/>
        <v/>
      </c>
      <c r="D18" s="3" t="str">
        <f>IF(B18&lt;&gt;"",C18*UnosPodataka!$M$20,"")</f>
        <v/>
      </c>
      <c r="E18" s="3" t="str">
        <f>IF(B18&lt;&gt;"",PMT(UnosPodataka!$M$20,UnosPodataka!$M$22,Anuiteti!$E$9),"")</f>
        <v/>
      </c>
    </row>
    <row r="19" spans="2:5" x14ac:dyDescent="0.25">
      <c r="B19" t="str">
        <f>IF(B18&lt;UnosPodataka!$M$22,B18+1,"")</f>
        <v/>
      </c>
      <c r="C19" s="3" t="str">
        <f t="shared" si="0"/>
        <v/>
      </c>
      <c r="D19" s="3" t="str">
        <f>IF(B19&lt;&gt;"",C19*UnosPodataka!$M$20,"")</f>
        <v/>
      </c>
      <c r="E19" s="3" t="str">
        <f>IF(B19&lt;&gt;"",PMT(UnosPodataka!$M$20,UnosPodataka!$M$22,Anuiteti!$E$9),"")</f>
        <v/>
      </c>
    </row>
    <row r="20" spans="2:5" x14ac:dyDescent="0.25">
      <c r="B20" t="str">
        <f>IF(B19&lt;UnosPodataka!$M$22,B19+1,"")</f>
        <v/>
      </c>
      <c r="C20" s="3" t="str">
        <f t="shared" si="0"/>
        <v/>
      </c>
      <c r="D20" s="3" t="str">
        <f>IF(B20&lt;&gt;"",C20*UnosPodataka!$M$20,"")</f>
        <v/>
      </c>
      <c r="E20" s="3" t="str">
        <f>IF(B20&lt;&gt;"",PMT(UnosPodataka!$M$20,UnosPodataka!$M$22,Anuiteti!$E$9),"")</f>
        <v/>
      </c>
    </row>
    <row r="21" spans="2:5" x14ac:dyDescent="0.25">
      <c r="B21" t="str">
        <f>IF(B20&lt;UnosPodataka!$M$22,B20+1,"")</f>
        <v/>
      </c>
      <c r="C21" s="3" t="str">
        <f t="shared" si="0"/>
        <v/>
      </c>
      <c r="D21" s="3" t="str">
        <f>IF(B21&lt;&gt;"",C21*UnosPodataka!$M$20,"")</f>
        <v/>
      </c>
      <c r="E21" s="3" t="str">
        <f>IF(B21&lt;&gt;"",PMT(UnosPodataka!$M$20,UnosPodataka!$M$22,Anuiteti!$E$9),"")</f>
        <v/>
      </c>
    </row>
    <row r="22" spans="2:5" x14ac:dyDescent="0.25">
      <c r="B22" t="str">
        <f>IF(B21&lt;UnosPodataka!$M$22,B21+1,"")</f>
        <v/>
      </c>
      <c r="C22" s="3" t="str">
        <f t="shared" si="0"/>
        <v/>
      </c>
      <c r="D22" s="3" t="str">
        <f>IF(B22&lt;&gt;"",C22*UnosPodataka!$M$20,"")</f>
        <v/>
      </c>
      <c r="E22" s="3" t="str">
        <f>IF(B22&lt;&gt;"",PMT(UnosPodataka!$M$20,UnosPodataka!$M$22,Anuiteti!$E$9),"")</f>
        <v/>
      </c>
    </row>
    <row r="23" spans="2:5" x14ac:dyDescent="0.25">
      <c r="B23" t="str">
        <f>IF(B22&lt;UnosPodataka!$M$22,B22+1,"")</f>
        <v/>
      </c>
      <c r="C23" s="3" t="str">
        <f t="shared" si="0"/>
        <v/>
      </c>
      <c r="D23" s="3" t="str">
        <f>IF(B23&lt;&gt;"",C23*UnosPodataka!$M$20,"")</f>
        <v/>
      </c>
      <c r="E23" s="3" t="str">
        <f>IF(B23&lt;&gt;"",PMT(UnosPodataka!$M$20,UnosPodataka!$M$22,Anuiteti!$E$9),"")</f>
        <v/>
      </c>
    </row>
    <row r="24" spans="2:5" x14ac:dyDescent="0.25">
      <c r="B24" t="str">
        <f>IF(B23&lt;UnosPodataka!$M$22,B23+1,"")</f>
        <v/>
      </c>
      <c r="C24" s="3" t="str">
        <f t="shared" si="0"/>
        <v/>
      </c>
      <c r="D24" s="3" t="str">
        <f>IF(B24&lt;&gt;"",C24*UnosPodataka!$M$20,"")</f>
        <v/>
      </c>
      <c r="E24" s="3" t="str">
        <f>IF(B24&lt;&gt;"",PMT(UnosPodataka!$M$20,UnosPodataka!$M$22,Anuiteti!$E$9),"")</f>
        <v/>
      </c>
    </row>
    <row r="25" spans="2:5" x14ac:dyDescent="0.25">
      <c r="B25" t="str">
        <f>IF(B24&lt;UnosPodataka!$M$22,B24+1,"")</f>
        <v/>
      </c>
      <c r="C25" s="3" t="str">
        <f t="shared" si="0"/>
        <v/>
      </c>
      <c r="D25" s="3" t="str">
        <f>IF(B25&lt;&gt;"",C25*UnosPodataka!$M$20,"")</f>
        <v/>
      </c>
      <c r="E25" s="3" t="str">
        <f>IF(B25&lt;&gt;"",PMT(UnosPodataka!$M$20,UnosPodataka!$M$22,Anuiteti!$E$9),"")</f>
        <v/>
      </c>
    </row>
    <row r="26" spans="2:5" x14ac:dyDescent="0.25">
      <c r="B26" t="str">
        <f>IF(B25&lt;UnosPodataka!$M$22,B25+1,"")</f>
        <v/>
      </c>
      <c r="C26" s="3" t="str">
        <f t="shared" si="0"/>
        <v/>
      </c>
      <c r="D26" s="3" t="str">
        <f>IF(B26&lt;&gt;"",C26*UnosPodataka!$M$20,"")</f>
        <v/>
      </c>
      <c r="E26" s="3" t="str">
        <f>IF(B26&lt;&gt;"",PMT(UnosPodataka!$M$20,UnosPodataka!$M$22,Anuiteti!$E$9),"")</f>
        <v/>
      </c>
    </row>
    <row r="27" spans="2:5" x14ac:dyDescent="0.25">
      <c r="B27" t="str">
        <f>IF(B26&lt;UnosPodataka!$M$22,B26+1,"")</f>
        <v/>
      </c>
      <c r="C27" s="3" t="str">
        <f t="shared" si="0"/>
        <v/>
      </c>
      <c r="D27" s="3" t="str">
        <f>IF(B27&lt;&gt;"",C27*UnosPodataka!$M$20,"")</f>
        <v/>
      </c>
      <c r="E27" s="3" t="str">
        <f>IF(B27&lt;&gt;"",PMT(UnosPodataka!$M$20,UnosPodataka!$M$22,Anuiteti!$E$9),"")</f>
        <v/>
      </c>
    </row>
    <row r="28" spans="2:5" x14ac:dyDescent="0.25">
      <c r="B28" t="str">
        <f>IF(B27&lt;UnosPodataka!$M$22,B27+1,"")</f>
        <v/>
      </c>
      <c r="C28" s="3" t="str">
        <f t="shared" si="0"/>
        <v/>
      </c>
      <c r="D28" s="3" t="str">
        <f>IF(B28&lt;&gt;"",C28*UnosPodataka!$M$20,"")</f>
        <v/>
      </c>
      <c r="E28" s="3" t="str">
        <f>IF(B28&lt;&gt;"",PMT(UnosPodataka!$M$20,UnosPodataka!$M$22,Anuiteti!$E$9),"")</f>
        <v/>
      </c>
    </row>
    <row r="29" spans="2:5" x14ac:dyDescent="0.25">
      <c r="B29" t="str">
        <f>IF(B28&lt;UnosPodataka!$M$22,B28+1,"")</f>
        <v/>
      </c>
      <c r="C29" s="3" t="str">
        <f t="shared" si="0"/>
        <v/>
      </c>
      <c r="D29" s="3" t="str">
        <f>IF(B29&lt;&gt;"",C29*UnosPodataka!$M$20,"")</f>
        <v/>
      </c>
      <c r="E29" s="3" t="str">
        <f>IF(B29&lt;&gt;"",PMT(UnosPodataka!$M$20,UnosPodataka!$M$22,Anuiteti!$E$9),"")</f>
        <v/>
      </c>
    </row>
    <row r="30" spans="2:5" x14ac:dyDescent="0.25">
      <c r="B30" t="str">
        <f>IF(B29&lt;UnosPodataka!$M$22,B29+1,"")</f>
        <v/>
      </c>
      <c r="C30" s="3" t="str">
        <f t="shared" si="0"/>
        <v/>
      </c>
      <c r="D30" s="3" t="str">
        <f>IF(B30&lt;&gt;"",C30*UnosPodataka!$M$20,"")</f>
        <v/>
      </c>
      <c r="E30" s="3" t="str">
        <f>IF(B30&lt;&gt;"",PMT(UnosPodataka!$M$20,UnosPodataka!$M$22,Anuiteti!$E$9),"")</f>
        <v/>
      </c>
    </row>
    <row r="31" spans="2:5" x14ac:dyDescent="0.25">
      <c r="B31" t="str">
        <f>IF(B30&lt;UnosPodataka!$M$22,B30+1,"")</f>
        <v/>
      </c>
      <c r="C31" s="3" t="str">
        <f t="shared" si="0"/>
        <v/>
      </c>
      <c r="D31" s="3" t="str">
        <f>IF(B31&lt;&gt;"",C31*UnosPodataka!$M$20,"")</f>
        <v/>
      </c>
      <c r="E31" s="3" t="str">
        <f>IF(B31&lt;&gt;"",PMT(UnosPodataka!$M$20,UnosPodataka!$M$22,Anuiteti!$E$9),"")</f>
        <v/>
      </c>
    </row>
    <row r="32" spans="2:5" x14ac:dyDescent="0.25">
      <c r="B32" t="str">
        <f>IF(B31&lt;UnosPodataka!$M$22,B31+1,"")</f>
        <v/>
      </c>
      <c r="C32" s="3" t="str">
        <f t="shared" si="0"/>
        <v/>
      </c>
      <c r="D32" s="3" t="str">
        <f>IF(B32&lt;&gt;"",C32*UnosPodataka!$M$20,"")</f>
        <v/>
      </c>
      <c r="E32" s="3" t="str">
        <f>IF(B32&lt;&gt;"",PMT(UnosPodataka!$M$20,UnosPodataka!$M$22,Anuiteti!$E$9),"")</f>
        <v/>
      </c>
    </row>
  </sheetData>
  <sheetProtection selectLockedCells="1"/>
  <mergeCells count="4">
    <mergeCell ref="B7:G7"/>
    <mergeCell ref="I9:J10"/>
    <mergeCell ref="L9:M10"/>
    <mergeCell ref="D3:G3"/>
  </mergeCells>
  <hyperlinks>
    <hyperlink ref="I9:J10" location="TrosakEnergije!N4" display="NAZAD"/>
    <hyperlink ref="L9:M10" location="FinaIndikatori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1"/>
  <sheetViews>
    <sheetView showZeros="0" topLeftCell="A3" zoomScale="80" zoomScaleNormal="80" workbookViewId="0">
      <selection activeCell="F23" sqref="F23"/>
    </sheetView>
    <sheetView topLeftCell="A15" workbookViewId="1">
      <selection activeCell="E26" sqref="E26"/>
    </sheetView>
  </sheetViews>
  <sheetFormatPr defaultRowHeight="15" x14ac:dyDescent="0.25"/>
  <cols>
    <col min="4" max="5" width="12.140625" customWidth="1"/>
    <col min="6" max="6" width="11.85546875" customWidth="1"/>
    <col min="7" max="8" width="11.28515625" customWidth="1"/>
    <col min="9" max="9" width="12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1.85546875" customWidth="1"/>
    <col min="20" max="20" width="12" customWidth="1"/>
    <col min="21" max="21" width="12.28515625" customWidth="1"/>
    <col min="22" max="22" width="12.7109375" customWidth="1"/>
    <col min="23" max="23" width="12.28515625" customWidth="1"/>
    <col min="24" max="24" width="12.7109375" customWidth="1"/>
    <col min="25" max="25" width="13" customWidth="1"/>
  </cols>
  <sheetData>
    <row r="3" spans="1:25" ht="16.5" x14ac:dyDescent="0.35">
      <c r="F3" s="56" t="s">
        <v>147</v>
      </c>
      <c r="G3" s="56"/>
      <c r="H3" s="56"/>
      <c r="I3" s="56"/>
    </row>
    <row r="7" spans="1:25" ht="21" x14ac:dyDescent="0.35">
      <c r="A7" s="63" t="s">
        <v>86</v>
      </c>
      <c r="B7" s="63"/>
      <c r="C7" s="63"/>
      <c r="D7" s="63"/>
      <c r="I7" s="60" t="s">
        <v>130</v>
      </c>
      <c r="J7" s="60"/>
      <c r="N7" s="61" t="s">
        <v>131</v>
      </c>
      <c r="O7" s="61"/>
    </row>
    <row r="9" spans="1:25" x14ac:dyDescent="0.25">
      <c r="A9" s="59" t="s">
        <v>61</v>
      </c>
      <c r="B9" s="59"/>
      <c r="C9" s="59"/>
      <c r="D9" s="59"/>
      <c r="E9" s="16">
        <v>0</v>
      </c>
      <c r="F9" s="16">
        <v>1</v>
      </c>
      <c r="G9" s="16">
        <f>IF(F9&lt;UnosPodataka!$M$25,FinaIndikatori!F9+1,"")</f>
        <v>2</v>
      </c>
      <c r="H9" s="16">
        <f>IF(G9&lt;UnosPodataka!$M$25,FinaIndikatori!G9+1,"")</f>
        <v>3</v>
      </c>
      <c r="I9" s="16">
        <f>IF(H9&lt;UnosPodataka!$M$25,FinaIndikatori!H9+1,"")</f>
        <v>4</v>
      </c>
      <c r="J9" s="16">
        <f>IF(I9&lt;UnosPodataka!$M$25,FinaIndikatori!I9+1,"")</f>
        <v>5</v>
      </c>
      <c r="K9" s="16">
        <f>IF(J9&lt;UnosPodataka!$M$25,FinaIndikatori!J9+1,"")</f>
        <v>6</v>
      </c>
      <c r="L9" s="16">
        <f>IF(K9&lt;UnosPodataka!$M$25,FinaIndikatori!K9+1,"")</f>
        <v>7</v>
      </c>
      <c r="M9" s="16">
        <f>IF(L9&lt;UnosPodataka!$M$25,FinaIndikatori!L9+1,"")</f>
        <v>8</v>
      </c>
      <c r="N9" s="16">
        <f>IF(M9&lt;UnosPodataka!$M$25,FinaIndikatori!M9+1,"")</f>
        <v>9</v>
      </c>
      <c r="O9" s="16">
        <f>IF(N9&lt;UnosPodataka!$M$25,FinaIndikatori!N9+1,"")</f>
        <v>10</v>
      </c>
      <c r="P9" s="16">
        <f>IF(O9&lt;UnosPodataka!$M$25,FinaIndikatori!O9+1,"")</f>
        <v>11</v>
      </c>
      <c r="Q9" s="16">
        <f>IF(P9&lt;UnosPodataka!$M$25,FinaIndikatori!P9+1,"")</f>
        <v>12</v>
      </c>
      <c r="R9" s="16">
        <f>IF(Q9&lt;UnosPodataka!$M$25,FinaIndikatori!Q9+1,"")</f>
        <v>13</v>
      </c>
      <c r="S9" s="16">
        <f>IF(R9&lt;UnosPodataka!$M$25,FinaIndikatori!R9+1,"")</f>
        <v>14</v>
      </c>
      <c r="T9" s="16">
        <f>IF(S9&lt;UnosPodataka!$M$25,FinaIndikatori!S9+1,"")</f>
        <v>15</v>
      </c>
      <c r="U9" s="16">
        <f>IF(T9&lt;UnosPodataka!$M$25,FinaIndikatori!T9+1,"")</f>
        <v>16</v>
      </c>
      <c r="V9" s="16">
        <f>IF(U9&lt;UnosPodataka!$M$25,FinaIndikatori!U9+1,"")</f>
        <v>17</v>
      </c>
      <c r="W9" s="16">
        <f>IF(V9&lt;UnosPodataka!$M$25,FinaIndikatori!V9+1,"")</f>
        <v>18</v>
      </c>
      <c r="X9" s="16">
        <f>IF(W9&lt;UnosPodataka!$M$25,FinaIndikatori!W9+1,"")</f>
        <v>19</v>
      </c>
      <c r="Y9" s="16">
        <f>IF(X9&lt;UnosPodataka!$M$25,FinaIndikatori!X9+1,"")</f>
        <v>20</v>
      </c>
    </row>
    <row r="11" spans="1:25" x14ac:dyDescent="0.25">
      <c r="A11" s="66" t="s">
        <v>87</v>
      </c>
      <c r="B11" s="66"/>
      <c r="C11" s="66"/>
      <c r="D11" s="66"/>
      <c r="E11" s="3">
        <f>Loan</f>
        <v>10300</v>
      </c>
    </row>
    <row r="12" spans="1:25" x14ac:dyDescent="0.25">
      <c r="A12" s="66" t="s">
        <v>88</v>
      </c>
      <c r="B12" s="66"/>
      <c r="C12" s="66"/>
      <c r="D12" s="66"/>
      <c r="E12" s="3">
        <f>IF(Equity=0,Loan,Equity)</f>
        <v>5000</v>
      </c>
    </row>
    <row r="13" spans="1:25" x14ac:dyDescent="0.25">
      <c r="A13" s="66" t="s">
        <v>149</v>
      </c>
      <c r="B13" s="66"/>
      <c r="C13" s="66"/>
      <c r="D13" s="66"/>
      <c r="E13" s="3">
        <f>+SUM(UnosPodataka!F22:F24)</f>
        <v>26000</v>
      </c>
    </row>
    <row r="14" spans="1:25" x14ac:dyDescent="0.25">
      <c r="A14" s="66" t="s">
        <v>89</v>
      </c>
      <c r="B14" s="66"/>
      <c r="C14" s="66"/>
      <c r="D14" s="66"/>
      <c r="F14" s="3">
        <f t="shared" ref="F14:Y14" si="0">IF(F9&lt;&gt;"",HEAT,"")</f>
        <v>75.908319999999989</v>
      </c>
      <c r="G14" s="3">
        <f t="shared" si="0"/>
        <v>75.908319999999989</v>
      </c>
      <c r="H14" s="3">
        <f t="shared" si="0"/>
        <v>75.908319999999989</v>
      </c>
      <c r="I14" s="3">
        <f t="shared" si="0"/>
        <v>75.908319999999989</v>
      </c>
      <c r="J14" s="3">
        <f t="shared" si="0"/>
        <v>75.908319999999989</v>
      </c>
      <c r="K14" s="3">
        <f t="shared" si="0"/>
        <v>75.908319999999989</v>
      </c>
      <c r="L14" s="3">
        <f t="shared" si="0"/>
        <v>75.908319999999989</v>
      </c>
      <c r="M14" s="3">
        <f t="shared" si="0"/>
        <v>75.908319999999989</v>
      </c>
      <c r="N14" s="3">
        <f t="shared" si="0"/>
        <v>75.908319999999989</v>
      </c>
      <c r="O14" s="3">
        <f t="shared" si="0"/>
        <v>75.908319999999989</v>
      </c>
      <c r="P14" s="3">
        <f t="shared" si="0"/>
        <v>75.908319999999989</v>
      </c>
      <c r="Q14" s="3">
        <f t="shared" si="0"/>
        <v>75.908319999999989</v>
      </c>
      <c r="R14" s="3">
        <f t="shared" si="0"/>
        <v>75.908319999999989</v>
      </c>
      <c r="S14" s="3">
        <f t="shared" si="0"/>
        <v>75.908319999999989</v>
      </c>
      <c r="T14" s="3">
        <f t="shared" si="0"/>
        <v>75.908319999999989</v>
      </c>
      <c r="U14" s="3">
        <f t="shared" si="0"/>
        <v>75.908319999999989</v>
      </c>
      <c r="V14" s="3">
        <f t="shared" si="0"/>
        <v>75.908319999999989</v>
      </c>
      <c r="W14" s="3">
        <f t="shared" si="0"/>
        <v>75.908319999999989</v>
      </c>
      <c r="X14" s="3">
        <f t="shared" si="0"/>
        <v>75.908319999999989</v>
      </c>
      <c r="Y14" s="3">
        <f t="shared" si="0"/>
        <v>75.908319999999989</v>
      </c>
    </row>
    <row r="15" spans="1:25" x14ac:dyDescent="0.25">
      <c r="A15" s="66" t="s">
        <v>90</v>
      </c>
      <c r="B15" s="66"/>
      <c r="C15" s="66"/>
      <c r="D15" s="66"/>
      <c r="F15" s="3">
        <f t="shared" ref="F15:Y15" si="1">EPOW*WHOUR</f>
        <v>9</v>
      </c>
      <c r="G15" s="3">
        <f t="shared" si="1"/>
        <v>9</v>
      </c>
      <c r="H15" s="3">
        <f t="shared" si="1"/>
        <v>9</v>
      </c>
      <c r="I15" s="3">
        <f t="shared" si="1"/>
        <v>9</v>
      </c>
      <c r="J15" s="3">
        <f t="shared" si="1"/>
        <v>9</v>
      </c>
      <c r="K15" s="3">
        <f t="shared" si="1"/>
        <v>9</v>
      </c>
      <c r="L15" s="3">
        <f t="shared" si="1"/>
        <v>9</v>
      </c>
      <c r="M15" s="3">
        <f t="shared" si="1"/>
        <v>9</v>
      </c>
      <c r="N15" s="3">
        <f t="shared" si="1"/>
        <v>9</v>
      </c>
      <c r="O15" s="3">
        <f t="shared" si="1"/>
        <v>9</v>
      </c>
      <c r="P15" s="3">
        <f t="shared" si="1"/>
        <v>9</v>
      </c>
      <c r="Q15" s="3">
        <f t="shared" si="1"/>
        <v>9</v>
      </c>
      <c r="R15" s="3">
        <f t="shared" si="1"/>
        <v>9</v>
      </c>
      <c r="S15" s="3">
        <f t="shared" si="1"/>
        <v>9</v>
      </c>
      <c r="T15" s="3">
        <f t="shared" si="1"/>
        <v>9</v>
      </c>
      <c r="U15" s="3">
        <f t="shared" si="1"/>
        <v>9</v>
      </c>
      <c r="V15" s="3">
        <f t="shared" si="1"/>
        <v>9</v>
      </c>
      <c r="W15" s="3">
        <f t="shared" si="1"/>
        <v>9</v>
      </c>
      <c r="X15" s="3">
        <f t="shared" si="1"/>
        <v>9</v>
      </c>
      <c r="Y15" s="3">
        <f t="shared" si="1"/>
        <v>9</v>
      </c>
    </row>
    <row r="16" spans="1:25" x14ac:dyDescent="0.25">
      <c r="A16" s="71"/>
      <c r="B16" s="71"/>
      <c r="C16" s="71"/>
      <c r="D16" s="71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59" t="s">
        <v>150</v>
      </c>
      <c r="B17" s="59"/>
      <c r="C17" s="59"/>
      <c r="D17" s="59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66" t="s">
        <v>91</v>
      </c>
      <c r="B18" s="66"/>
      <c r="C18" s="66"/>
      <c r="D18" s="66"/>
      <c r="F18" s="3">
        <f t="shared" ref="F18:Y18" si="2">IF(F9&lt;&gt;"",F14*etagrid*HPrice/Kurs_EUR,"")</f>
        <v>5587.2427406043234</v>
      </c>
      <c r="G18" s="3">
        <f t="shared" si="2"/>
        <v>5587.2427406043234</v>
      </c>
      <c r="H18" s="3">
        <f t="shared" si="2"/>
        <v>5587.2427406043234</v>
      </c>
      <c r="I18" s="3">
        <f t="shared" si="2"/>
        <v>5587.2427406043234</v>
      </c>
      <c r="J18" s="3">
        <f t="shared" si="2"/>
        <v>5587.2427406043234</v>
      </c>
      <c r="K18" s="3">
        <f t="shared" si="2"/>
        <v>5587.2427406043234</v>
      </c>
      <c r="L18" s="3">
        <f t="shared" si="2"/>
        <v>5587.2427406043234</v>
      </c>
      <c r="M18" s="3">
        <f t="shared" si="2"/>
        <v>5587.2427406043234</v>
      </c>
      <c r="N18" s="3">
        <f t="shared" si="2"/>
        <v>5587.2427406043234</v>
      </c>
      <c r="O18" s="3">
        <f t="shared" si="2"/>
        <v>5587.2427406043234</v>
      </c>
      <c r="P18" s="3">
        <f t="shared" si="2"/>
        <v>5587.2427406043234</v>
      </c>
      <c r="Q18" s="3">
        <f t="shared" si="2"/>
        <v>5587.2427406043234</v>
      </c>
      <c r="R18" s="3">
        <f t="shared" si="2"/>
        <v>5587.2427406043234</v>
      </c>
      <c r="S18" s="3">
        <f t="shared" si="2"/>
        <v>5587.2427406043234</v>
      </c>
      <c r="T18" s="3">
        <f t="shared" si="2"/>
        <v>5587.2427406043234</v>
      </c>
      <c r="U18" s="3">
        <f t="shared" si="2"/>
        <v>5587.2427406043234</v>
      </c>
      <c r="V18" s="3">
        <f t="shared" si="2"/>
        <v>5587.2427406043234</v>
      </c>
      <c r="W18" s="3">
        <f t="shared" si="2"/>
        <v>5587.2427406043234</v>
      </c>
      <c r="X18" s="3">
        <f t="shared" si="2"/>
        <v>5587.2427406043234</v>
      </c>
      <c r="Y18" s="3">
        <f t="shared" si="2"/>
        <v>5587.2427406043234</v>
      </c>
    </row>
    <row r="19" spans="1:25" x14ac:dyDescent="0.25">
      <c r="A19" s="72" t="s">
        <v>92</v>
      </c>
      <c r="B19" s="72"/>
      <c r="C19" s="72"/>
      <c r="D19" s="72"/>
      <c r="E19" s="30"/>
      <c r="F19" s="31">
        <f t="shared" ref="F19:Y19" si="3">IF(F9&lt;&gt;"",F18,"")</f>
        <v>5587.2427406043234</v>
      </c>
      <c r="G19" s="31">
        <f t="shared" si="3"/>
        <v>5587.2427406043234</v>
      </c>
      <c r="H19" s="31">
        <f t="shared" si="3"/>
        <v>5587.2427406043234</v>
      </c>
      <c r="I19" s="31">
        <f t="shared" si="3"/>
        <v>5587.2427406043234</v>
      </c>
      <c r="J19" s="31">
        <f t="shared" si="3"/>
        <v>5587.2427406043234</v>
      </c>
      <c r="K19" s="31">
        <f t="shared" si="3"/>
        <v>5587.2427406043234</v>
      </c>
      <c r="L19" s="31">
        <f t="shared" si="3"/>
        <v>5587.2427406043234</v>
      </c>
      <c r="M19" s="31">
        <f t="shared" si="3"/>
        <v>5587.2427406043234</v>
      </c>
      <c r="N19" s="31">
        <f t="shared" si="3"/>
        <v>5587.2427406043234</v>
      </c>
      <c r="O19" s="31">
        <f t="shared" si="3"/>
        <v>5587.2427406043234</v>
      </c>
      <c r="P19" s="31">
        <f t="shared" si="3"/>
        <v>5587.2427406043234</v>
      </c>
      <c r="Q19" s="31">
        <f t="shared" si="3"/>
        <v>5587.2427406043234</v>
      </c>
      <c r="R19" s="31">
        <f t="shared" si="3"/>
        <v>5587.2427406043234</v>
      </c>
      <c r="S19" s="31">
        <f t="shared" si="3"/>
        <v>5587.2427406043234</v>
      </c>
      <c r="T19" s="31">
        <f t="shared" si="3"/>
        <v>5587.2427406043234</v>
      </c>
      <c r="U19" s="31">
        <f t="shared" si="3"/>
        <v>5587.2427406043234</v>
      </c>
      <c r="V19" s="31">
        <f t="shared" si="3"/>
        <v>5587.2427406043234</v>
      </c>
      <c r="W19" s="31">
        <f t="shared" si="3"/>
        <v>5587.2427406043234</v>
      </c>
      <c r="X19" s="31">
        <f t="shared" si="3"/>
        <v>5587.2427406043234</v>
      </c>
      <c r="Y19" s="31">
        <f t="shared" si="3"/>
        <v>5587.2427406043234</v>
      </c>
    </row>
    <row r="20" spans="1:25" x14ac:dyDescent="0.25">
      <c r="A20" s="71"/>
      <c r="B20" s="71"/>
      <c r="C20" s="71"/>
      <c r="D20" s="71"/>
    </row>
    <row r="21" spans="1:25" x14ac:dyDescent="0.25">
      <c r="A21" s="59" t="s">
        <v>151</v>
      </c>
      <c r="B21" s="59"/>
      <c r="C21" s="59"/>
      <c r="D21" s="59"/>
    </row>
    <row r="22" spans="1:25" x14ac:dyDescent="0.25">
      <c r="A22" s="66" t="s">
        <v>93</v>
      </c>
      <c r="B22" s="66"/>
      <c r="C22" s="66"/>
      <c r="D22" s="66"/>
      <c r="F22" s="3">
        <f>IF(F9&gt;UnosPodataka!$M$22,"",-VLOOKUP(F9,Anuiteti!$B$13:$E$32,3,FALSE))</f>
        <v>-1236</v>
      </c>
      <c r="G22" s="3">
        <f>IF(G9&gt;UnosPodataka!$M$22,"",-VLOOKUP(G9,Anuiteti!$B$13:$E$32,3,FALSE))</f>
        <v>-1041.4415713208634</v>
      </c>
      <c r="H22" s="3">
        <f>IF(H9&gt;UnosPodataka!$M$22,"",-VLOOKUP(H9,Anuiteti!$B$13:$E$32,3,FALSE))</f>
        <v>-823.53613120023056</v>
      </c>
      <c r="I22" s="3">
        <f>IF(I9&gt;UnosPodataka!$M$22,"",-VLOOKUP(I9,Anuiteti!$B$13:$E$32,3,FALSE))</f>
        <v>-579.48203826512179</v>
      </c>
      <c r="J22" s="3">
        <f>IF(J9&gt;UnosPodataka!$M$22,"",-VLOOKUP(J9,Anuiteti!$B$13:$E$32,3,FALSE))</f>
        <v>-306.14145417779997</v>
      </c>
      <c r="K22" s="3" t="str">
        <f>IF(K9&gt;UnosPodataka!$M$22,"",-VLOOKUP(K9,Anuiteti!$B$13:$E$32,3,FALSE))</f>
        <v/>
      </c>
      <c r="L22" s="3" t="str">
        <f>IF(L9&gt;UnosPodataka!$M$22,"",-VLOOKUP(L9,Anuiteti!$B$13:$E$32,3,FALSE))</f>
        <v/>
      </c>
      <c r="M22" s="3" t="str">
        <f>IF(M9&gt;UnosPodataka!$M$22,"",-VLOOKUP(M9,Anuiteti!$B$13:$E$32,3,FALSE))</f>
        <v/>
      </c>
      <c r="N22" s="3" t="str">
        <f>IF(N9&gt;UnosPodataka!$M$22,"",-VLOOKUP(N9,Anuiteti!$B$13:$E$32,3,FALSE))</f>
        <v/>
      </c>
      <c r="O22" s="3" t="str">
        <f>IF(O9&gt;UnosPodataka!$M$22,"",-VLOOKUP(O9,Anuiteti!$B$13:$E$32,3,FALSE))</f>
        <v/>
      </c>
      <c r="P22" s="3" t="str">
        <f>IF(P9&gt;UnosPodataka!$M$22,"",-VLOOKUP(P9,Anuiteti!$B$13:$E$32,3,FALSE))</f>
        <v/>
      </c>
      <c r="Q22" s="3" t="str">
        <f>IF(Q9&gt;UnosPodataka!$M$22,"",-VLOOKUP(Q9,Anuiteti!$B$13:$E$32,3,FALSE))</f>
        <v/>
      </c>
      <c r="R22" s="3" t="str">
        <f>IF(R9&gt;UnosPodataka!$M$22,"",-VLOOKUP(R9,Anuiteti!$B$13:$E$32,3,FALSE))</f>
        <v/>
      </c>
      <c r="S22" s="3" t="str">
        <f>IF(S9&gt;UnosPodataka!$M$22,"",-VLOOKUP(S9,Anuiteti!$B$13:$E$32,3,FALSE))</f>
        <v/>
      </c>
      <c r="T22" s="3" t="str">
        <f>IF(T9&gt;UnosPodataka!$M$22,"",-VLOOKUP(T9,Anuiteti!$B$13:$E$32,3,FALSE))</f>
        <v/>
      </c>
      <c r="U22" s="3" t="str">
        <f>IF(U9&gt;UnosPodataka!$M$22,"",-VLOOKUP(U9,Anuiteti!$B$13:$E$32,3,FALSE))</f>
        <v/>
      </c>
      <c r="V22" s="3" t="str">
        <f>IF(V9&gt;UnosPodataka!$M$22,"",-VLOOKUP(V9,Anuiteti!$B$13:$E$32,3,FALSE))</f>
        <v/>
      </c>
      <c r="W22" s="3" t="str">
        <f>IF(W9&gt;UnosPodataka!$M$22,"",-VLOOKUP(W9,Anuiteti!$B$13:$E$32,3,FALSE))</f>
        <v/>
      </c>
      <c r="X22" s="3" t="str">
        <f>IF(X9&gt;UnosPodataka!$M$22,"",-VLOOKUP(X9,Anuiteti!$B$13:$E$32,3,FALSE))</f>
        <v/>
      </c>
      <c r="Y22" s="3" t="str">
        <f>IF(Y9&gt;UnosPodataka!$M$22,"",-VLOOKUP(Y9,Anuiteti!$B$13:$E$32,3,FALSE))</f>
        <v/>
      </c>
    </row>
    <row r="23" spans="1:25" x14ac:dyDescent="0.25">
      <c r="A23" s="22" t="s">
        <v>152</v>
      </c>
      <c r="B23" s="22"/>
      <c r="C23" s="22"/>
      <c r="D23" s="22"/>
      <c r="F23" s="3">
        <f>IF(F22="",0,IF(F9&gt;UnosPodataka!$M$22,"",VLOOKUP(F9,Anuiteti!$B$13:$E$32,4,FALSE)+VLOOKUP(F9,Anuiteti!$B$13:$E$32,3,FALSE)))</f>
        <v>-1621.3202389928038</v>
      </c>
      <c r="G23" s="3">
        <f>IF(G22="",0,IF(G9&gt;UnosPodataka!$M$22,"",VLOOKUP(G9,Anuiteti!$B$13:$E$32,4,FALSE)+VLOOKUP(G9,Anuiteti!$B$13:$E$32,3,FALSE)))</f>
        <v>-1815.8786676719403</v>
      </c>
      <c r="H23" s="3">
        <f>IF(H22="",0,IF(H9&gt;UnosPodataka!$M$22,"",VLOOKUP(H9,Anuiteti!$B$13:$E$32,4,FALSE)+VLOOKUP(H9,Anuiteti!$B$13:$E$32,3,FALSE)))</f>
        <v>-2033.7841077925732</v>
      </c>
      <c r="I23" s="3">
        <f>IF(I22="",0,IF(I9&gt;UnosPodataka!$M$22,"",VLOOKUP(I9,Anuiteti!$B$13:$E$32,4,FALSE)+VLOOKUP(I9,Anuiteti!$B$13:$E$32,3,FALSE)))</f>
        <v>-2277.8382007276819</v>
      </c>
      <c r="J23" s="3">
        <f>IF(J22="",0,IF(J9&gt;UnosPodataka!$M$22,"",VLOOKUP(J9,Anuiteti!$B$13:$E$32,4,FALSE)+VLOOKUP(J9,Anuiteti!$B$13:$E$32,3,FALSE)))</f>
        <v>-2551.1787848150038</v>
      </c>
      <c r="K23" s="3">
        <f>IF(K22="",0,IF(K9&gt;UnosPodataka!$M$22,"",VLOOKUP(K9,Anuiteti!$B$13:$E$32,4,FALSE)+VLOOKUP(K9,Anuiteti!$B$13:$E$32,3,FALSE)))</f>
        <v>0</v>
      </c>
      <c r="L23" s="3">
        <f>IF(L22="",0,IF(L9&gt;UnosPodataka!$M$22,"",VLOOKUP(L9,Anuiteti!$B$13:$E$32,4,FALSE)+VLOOKUP(L9,Anuiteti!$B$13:$E$32,3,FALSE)))</f>
        <v>0</v>
      </c>
      <c r="M23" s="3">
        <f>IF(M22="",0,IF(M9&gt;UnosPodataka!$M$22,"",VLOOKUP(M9,Anuiteti!$B$13:$E$32,4,FALSE)+VLOOKUP(M9,Anuiteti!$B$13:$E$32,3,FALSE)))</f>
        <v>0</v>
      </c>
      <c r="N23" s="3">
        <f>IF(N22="",0,IF(N9&gt;UnosPodataka!$M$22,"",VLOOKUP(N9,Anuiteti!$B$13:$E$32,4,FALSE)+VLOOKUP(N9,Anuiteti!$B$13:$E$32,3,FALSE)))</f>
        <v>0</v>
      </c>
      <c r="O23" s="3">
        <f>IF(O22="",0,IF(O9&gt;UnosPodataka!$M$22,"",VLOOKUP(O9,Anuiteti!$B$13:$E$32,4,FALSE)+VLOOKUP(O9,Anuiteti!$B$13:$E$32,3,FALSE)))</f>
        <v>0</v>
      </c>
      <c r="P23" s="3">
        <f>IF(P22="",0,IF(P9&gt;UnosPodataka!$M$22,"",VLOOKUP(P9,Anuiteti!$B$13:$E$32,4,FALSE)+VLOOKUP(P9,Anuiteti!$B$13:$E$32,3,FALSE)))</f>
        <v>0</v>
      </c>
      <c r="Q23" s="3">
        <f>IF(Q22="",0,IF(Q9&gt;UnosPodataka!$M$22,"",VLOOKUP(Q9,Anuiteti!$B$13:$E$32,4,FALSE)+VLOOKUP(Q9,Anuiteti!$B$13:$E$32,3,FALSE)))</f>
        <v>0</v>
      </c>
      <c r="R23" s="3">
        <f>IF(R22="",0,IF(R9&gt;UnosPodataka!$M$22,"",VLOOKUP(R9,Anuiteti!$B$13:$E$32,4,FALSE)+VLOOKUP(R9,Anuiteti!$B$13:$E$32,3,FALSE)))</f>
        <v>0</v>
      </c>
      <c r="S23" s="3">
        <f>IF(S22="",0,IF(S9&gt;UnosPodataka!$M$22,"",VLOOKUP(S9,Anuiteti!$B$13:$E$32,4,FALSE)+VLOOKUP(S9,Anuiteti!$B$13:$E$32,3,FALSE)))</f>
        <v>0</v>
      </c>
      <c r="T23" s="3">
        <f>IF(T22="",0,IF(T9&gt;UnosPodataka!$M$22,"",VLOOKUP(T9,Anuiteti!$B$13:$E$32,4,FALSE)+VLOOKUP(T9,Anuiteti!$B$13:$E$32,3,FALSE)))</f>
        <v>0</v>
      </c>
      <c r="U23" s="3">
        <f>IF(U22="",0,IF(U9&gt;UnosPodataka!$M$22,"",VLOOKUP(U9,Anuiteti!$B$13:$E$32,4,FALSE)+VLOOKUP(U9,Anuiteti!$B$13:$E$32,3,FALSE)))</f>
        <v>0</v>
      </c>
      <c r="V23" s="3">
        <f>IF(V22="",0,IF(V9&gt;UnosPodataka!$M$22,"",VLOOKUP(V9,Anuiteti!$B$13:$E$32,4,FALSE)+VLOOKUP(V9,Anuiteti!$B$13:$E$32,3,FALSE)))</f>
        <v>0</v>
      </c>
      <c r="W23" s="3">
        <f>IF(W22="",0,IF(W9&gt;UnosPodataka!$M$22,"",VLOOKUP(W9,Anuiteti!$B$13:$E$32,4,FALSE)+VLOOKUP(W9,Anuiteti!$B$13:$E$32,3,FALSE)))</f>
        <v>0</v>
      </c>
      <c r="X23" s="3">
        <f>IF(X22="",0,IF(X9&gt;UnosPodataka!$M$22,"",VLOOKUP(X9,Anuiteti!$B$13:$E$32,4,FALSE)+VLOOKUP(X9,Anuiteti!$B$13:$E$32,3,FALSE)))</f>
        <v>0</v>
      </c>
      <c r="Y23" s="3">
        <f>IF(Y22="",0,IF(Y9&gt;UnosPodataka!$M$22,"",VLOOKUP(Y9,Anuiteti!$B$13:$E$32,4,FALSE)+VLOOKUP(Y9,Anuiteti!$B$13:$E$32,3,FALSE)))</f>
        <v>0</v>
      </c>
    </row>
    <row r="24" spans="1:25" x14ac:dyDescent="0.25">
      <c r="A24" s="66" t="s">
        <v>94</v>
      </c>
      <c r="B24" s="66"/>
      <c r="C24" s="66"/>
      <c r="D24" s="66"/>
      <c r="F24" s="3">
        <f>IF(F9&lt;&gt;"",-UnosPodataka!$M$9,"")</f>
        <v>-100</v>
      </c>
      <c r="G24" s="3">
        <f>IF(G9&lt;&gt;"",-UnosPodataka!$M$9,"")</f>
        <v>-100</v>
      </c>
      <c r="H24" s="3">
        <f>IF(H9&lt;&gt;"",-UnosPodataka!$M$9,"")</f>
        <v>-100</v>
      </c>
      <c r="I24" s="3">
        <f>IF(I9&lt;&gt;"",-UnosPodataka!$M$9,"")</f>
        <v>-100</v>
      </c>
      <c r="J24" s="3">
        <f>IF(J9&lt;&gt;"",-UnosPodataka!$M$9,"")</f>
        <v>-100</v>
      </c>
      <c r="K24" s="3">
        <f>IF(K9&lt;&gt;"",-UnosPodataka!$M$9,"")</f>
        <v>-100</v>
      </c>
      <c r="L24" s="3">
        <f>IF(L9&lt;&gt;"",-UnosPodataka!$M$9,"")</f>
        <v>-100</v>
      </c>
      <c r="M24" s="3">
        <f>IF(M9&lt;&gt;"",-UnosPodataka!$M$9,"")</f>
        <v>-100</v>
      </c>
      <c r="N24" s="3">
        <f>IF(N9&lt;&gt;"",-UnosPodataka!$M$9,"")</f>
        <v>-100</v>
      </c>
      <c r="O24" s="3">
        <f>IF(O9&lt;&gt;"",-UnosPodataka!$M$9,"")</f>
        <v>-100</v>
      </c>
      <c r="P24" s="3">
        <f>IF(P9&lt;&gt;"",-UnosPodataka!$M$9,"")</f>
        <v>-100</v>
      </c>
      <c r="Q24" s="3">
        <f>IF(Q9&lt;&gt;"",-UnosPodataka!$M$9,"")</f>
        <v>-100</v>
      </c>
      <c r="R24" s="3">
        <f>IF(R9&lt;&gt;"",-UnosPodataka!$M$9,"")</f>
        <v>-100</v>
      </c>
      <c r="S24" s="3">
        <f>IF(S9&lt;&gt;"",-UnosPodataka!$M$9,"")</f>
        <v>-100</v>
      </c>
      <c r="T24" s="3">
        <f>IF(T9&lt;&gt;"",-UnosPodataka!$M$9,"")</f>
        <v>-100</v>
      </c>
      <c r="U24" s="3">
        <f>IF(U9&lt;&gt;"",-UnosPodataka!$M$9,"")</f>
        <v>-100</v>
      </c>
      <c r="V24" s="3">
        <f>IF(V9&lt;&gt;"",-UnosPodataka!$M$9,"")</f>
        <v>-100</v>
      </c>
      <c r="W24" s="3">
        <f>IF(W9&lt;&gt;"",-UnosPodataka!$M$9,"")</f>
        <v>-100</v>
      </c>
      <c r="X24" s="3">
        <f>IF(X9&lt;&gt;"",-UnosPodataka!$M$9,"")</f>
        <v>-100</v>
      </c>
      <c r="Y24" s="3">
        <f>IF(Y9&lt;&gt;"",-UnosPodataka!$M$9,"")</f>
        <v>-100</v>
      </c>
    </row>
    <row r="25" spans="1:25" x14ac:dyDescent="0.25">
      <c r="A25" s="66" t="s">
        <v>95</v>
      </c>
      <c r="B25" s="66"/>
      <c r="C25" s="66"/>
      <c r="D25" s="66"/>
      <c r="F25" s="3">
        <f>IF(F9&lt;&gt;"",-Investment*UnosPodataka!$M$11,"")</f>
        <v>-1239</v>
      </c>
      <c r="G25" s="3">
        <f>IF(G9&lt;&gt;"",-Investment*UnosPodataka!$M$11,"")</f>
        <v>-1239</v>
      </c>
      <c r="H25" s="3">
        <f>IF(H9&lt;&gt;"",-Investment*UnosPodataka!$M$11,"")</f>
        <v>-1239</v>
      </c>
      <c r="I25" s="3">
        <f>IF(I9&lt;&gt;"",-Investment*UnosPodataka!$M$11,"")</f>
        <v>-1239</v>
      </c>
      <c r="J25" s="3">
        <f>IF(J9&lt;&gt;"",-Investment*UnosPodataka!$M$11,"")</f>
        <v>-1239</v>
      </c>
      <c r="K25" s="3">
        <f>IF(K9&lt;&gt;"",-Investment*UnosPodataka!$M$11,"")</f>
        <v>-1239</v>
      </c>
      <c r="L25" s="3">
        <f>IF(L9&lt;&gt;"",-Investment*UnosPodataka!$M$11,"")</f>
        <v>-1239</v>
      </c>
      <c r="M25" s="3">
        <f>IF(M9&lt;&gt;"",-Investment*UnosPodataka!$M$11,"")</f>
        <v>-1239</v>
      </c>
      <c r="N25" s="3">
        <f>IF(N9&lt;&gt;"",-Investment*UnosPodataka!$M$11,"")</f>
        <v>-1239</v>
      </c>
      <c r="O25" s="3">
        <f>IF(O9&lt;&gt;"",-Investment*UnosPodataka!$M$11,"")</f>
        <v>-1239</v>
      </c>
      <c r="P25" s="3">
        <f>IF(P9&lt;&gt;"",-Investment*UnosPodataka!$M$11,"")</f>
        <v>-1239</v>
      </c>
      <c r="Q25" s="3">
        <f>IF(Q9&lt;&gt;"",-Investment*UnosPodataka!$M$11,"")</f>
        <v>-1239</v>
      </c>
      <c r="R25" s="3">
        <f>IF(R9&lt;&gt;"",-Investment*UnosPodataka!$M$11,"")</f>
        <v>-1239</v>
      </c>
      <c r="S25" s="3">
        <f>IF(S9&lt;&gt;"",-Investment*UnosPodataka!$M$11,"")</f>
        <v>-1239</v>
      </c>
      <c r="T25" s="3">
        <f>IF(T9&lt;&gt;"",-Investment*UnosPodataka!$M$11,"")</f>
        <v>-1239</v>
      </c>
      <c r="U25" s="3">
        <f>IF(U9&lt;&gt;"",-Investment*UnosPodataka!$M$11,"")</f>
        <v>-1239</v>
      </c>
      <c r="V25" s="3">
        <f>IF(V9&lt;&gt;"",-Investment*UnosPodataka!$M$11,"")</f>
        <v>-1239</v>
      </c>
      <c r="W25" s="3">
        <f>IF(W9&lt;&gt;"",-Investment*UnosPodataka!$M$11,"")</f>
        <v>-1239</v>
      </c>
      <c r="X25" s="3">
        <f>IF(X9&lt;&gt;"",-Investment*UnosPodataka!$M$11,"")</f>
        <v>-1239</v>
      </c>
      <c r="Y25" s="3">
        <f>IF(Y9&lt;&gt;"",-Investment*UnosPodataka!$M$11,"")</f>
        <v>-1239</v>
      </c>
    </row>
    <row r="26" spans="1:25" x14ac:dyDescent="0.25">
      <c r="A26" s="66" t="s">
        <v>96</v>
      </c>
      <c r="B26" s="66"/>
      <c r="C26" s="66"/>
      <c r="D26" s="66"/>
      <c r="F26" s="3">
        <f>IF(F9&lt;&gt;"",-EENERGIJA*EPrice/Kurs_EUR,"")</f>
        <v>-926.94904849600982</v>
      </c>
      <c r="G26" s="3">
        <f t="shared" ref="G26:Y26" si="4">IF(G9&lt;&gt;"",-EPOW*WHOUR*EPrice/Kurs_EUR,"")</f>
        <v>-926.94904849600982</v>
      </c>
      <c r="H26" s="3">
        <f t="shared" si="4"/>
        <v>-926.94904849600982</v>
      </c>
      <c r="I26" s="3">
        <f t="shared" si="4"/>
        <v>-926.94904849600982</v>
      </c>
      <c r="J26" s="3">
        <f t="shared" si="4"/>
        <v>-926.94904849600982</v>
      </c>
      <c r="K26" s="3">
        <f t="shared" si="4"/>
        <v>-926.94904849600982</v>
      </c>
      <c r="L26" s="3">
        <f t="shared" si="4"/>
        <v>-926.94904849600982</v>
      </c>
      <c r="M26" s="3">
        <f t="shared" si="4"/>
        <v>-926.94904849600982</v>
      </c>
      <c r="N26" s="3">
        <f t="shared" si="4"/>
        <v>-926.94904849600982</v>
      </c>
      <c r="O26" s="3">
        <f t="shared" si="4"/>
        <v>-926.94904849600982</v>
      </c>
      <c r="P26" s="3">
        <f t="shared" si="4"/>
        <v>-926.94904849600982</v>
      </c>
      <c r="Q26" s="3">
        <f t="shared" si="4"/>
        <v>-926.94904849600982</v>
      </c>
      <c r="R26" s="3">
        <f t="shared" si="4"/>
        <v>-926.94904849600982</v>
      </c>
      <c r="S26" s="3">
        <f t="shared" si="4"/>
        <v>-926.94904849600982</v>
      </c>
      <c r="T26" s="3">
        <f t="shared" si="4"/>
        <v>-926.94904849600982</v>
      </c>
      <c r="U26" s="3">
        <f t="shared" si="4"/>
        <v>-926.94904849600982</v>
      </c>
      <c r="V26" s="3">
        <f t="shared" si="4"/>
        <v>-926.94904849600982</v>
      </c>
      <c r="W26" s="3">
        <f t="shared" si="4"/>
        <v>-926.94904849600982</v>
      </c>
      <c r="X26" s="3">
        <f t="shared" si="4"/>
        <v>-926.94904849600982</v>
      </c>
      <c r="Y26" s="3">
        <f t="shared" si="4"/>
        <v>-926.94904849600982</v>
      </c>
    </row>
    <row r="27" spans="1:25" x14ac:dyDescent="0.25">
      <c r="A27" s="66" t="s">
        <v>153</v>
      </c>
      <c r="B27" s="66"/>
      <c r="C27" s="66"/>
      <c r="D27" s="66"/>
      <c r="F27" s="3">
        <f>IF(F9&lt;&gt;"",-Investment*UnosPodataka!$M$12,"")</f>
        <v>-4130</v>
      </c>
      <c r="G27" s="3">
        <f>IF(G9&lt;&gt;"",-Investment*UnosPodataka!$M$12,"")</f>
        <v>-4130</v>
      </c>
      <c r="H27" s="3">
        <f>IF(H9&lt;&gt;"",-Investment*UnosPodataka!$M$12,"")</f>
        <v>-4130</v>
      </c>
      <c r="I27" s="3">
        <f>IF(I9&lt;&gt;"",-Investment*UnosPodataka!$M$12,"")</f>
        <v>-4130</v>
      </c>
      <c r="J27" s="3">
        <f>IF(J9&lt;&gt;"",-Investment*UnosPodataka!$M$12,"")</f>
        <v>-4130</v>
      </c>
      <c r="K27" s="3">
        <f>IF(K9&lt;&gt;"",-Investment*UnosPodataka!$M$12,"")</f>
        <v>-4130</v>
      </c>
      <c r="L27" s="3">
        <f>IF(L9&lt;&gt;"",-Investment*UnosPodataka!$M$12,"")</f>
        <v>-4130</v>
      </c>
      <c r="M27" s="3">
        <f>IF(M9&lt;&gt;"",-Investment*UnosPodataka!$M$12,"")</f>
        <v>-4130</v>
      </c>
      <c r="N27" s="3">
        <f>IF(N9&lt;&gt;"",-Investment*UnosPodataka!$M$12,"")</f>
        <v>-4130</v>
      </c>
      <c r="O27" s="3">
        <f>IF(O9&lt;&gt;"",-Investment*UnosPodataka!$M$12,"")</f>
        <v>-4130</v>
      </c>
      <c r="P27" s="3">
        <f>IF(P9&lt;&gt;"",-Investment*UnosPodataka!$M$12,"")</f>
        <v>-4130</v>
      </c>
      <c r="Q27" s="3">
        <f>IF(Q9&lt;&gt;"",-Investment*UnosPodataka!$M$12,"")</f>
        <v>-4130</v>
      </c>
      <c r="R27" s="3">
        <f>IF(R9&lt;&gt;"",-Investment*UnosPodataka!$M$12,"")</f>
        <v>-4130</v>
      </c>
      <c r="S27" s="3">
        <f>IF(S9&lt;&gt;"",-Investment*UnosPodataka!$M$12,"")</f>
        <v>-4130</v>
      </c>
      <c r="T27" s="3">
        <f>IF(T9&lt;&gt;"",-Investment*UnosPodataka!$M$12,"")</f>
        <v>-4130</v>
      </c>
      <c r="U27" s="3">
        <f>IF(U9&lt;&gt;"",-Investment*UnosPodataka!$M$12,"")</f>
        <v>-4130</v>
      </c>
      <c r="V27" s="3">
        <f>IF(V9&lt;&gt;"",-Investment*UnosPodataka!$M$12,"")</f>
        <v>-4130</v>
      </c>
      <c r="W27" s="3">
        <f>IF(W9&lt;&gt;"",-Investment*UnosPodataka!$M$12,"")</f>
        <v>-4130</v>
      </c>
      <c r="X27" s="3">
        <f>IF(X9&lt;&gt;"",-Investment*UnosPodataka!$M$12,"")</f>
        <v>-4130</v>
      </c>
      <c r="Y27" s="3">
        <f>IF(Y9&lt;&gt;"",-Investment*UnosPodataka!$M$12,"")</f>
        <v>-4130</v>
      </c>
    </row>
    <row r="28" spans="1:25" x14ac:dyDescent="0.25">
      <c r="A28" s="66" t="s">
        <v>105</v>
      </c>
      <c r="B28" s="66"/>
      <c r="C28" s="66"/>
      <c r="D28" s="66"/>
      <c r="F28" s="3">
        <f>IF(F9&lt;&gt;"",-(1-UnosPodataka!$M$10)*FinaIndikatori!F18,"")</f>
        <v>0</v>
      </c>
      <c r="G28" s="3">
        <f>IF(G9&lt;&gt;"",-(1-UnosPodataka!$M$10)*FinaIndikatori!G18,"")</f>
        <v>0</v>
      </c>
      <c r="H28" s="3">
        <f>IF(H9&lt;&gt;"",-(1-UnosPodataka!$M$10)*FinaIndikatori!H18,"")</f>
        <v>0</v>
      </c>
      <c r="I28" s="3">
        <f>IF(I9&lt;&gt;"",-(1-UnosPodataka!$M$10)*FinaIndikatori!I18,"")</f>
        <v>0</v>
      </c>
      <c r="J28" s="3">
        <f>IF(J9&lt;&gt;"",-(1-UnosPodataka!$M$10)*FinaIndikatori!J18,"")</f>
        <v>0</v>
      </c>
      <c r="K28" s="3">
        <f>IF(K9&lt;&gt;"",-(1-UnosPodataka!$M$10)*FinaIndikatori!K18,"")</f>
        <v>0</v>
      </c>
      <c r="L28" s="3">
        <f>IF(L9&lt;&gt;"",-(1-UnosPodataka!$M$10)*FinaIndikatori!L18,"")</f>
        <v>0</v>
      </c>
      <c r="M28" s="3">
        <f>IF(M9&lt;&gt;"",-(1-UnosPodataka!$M$10)*FinaIndikatori!M18,"")</f>
        <v>0</v>
      </c>
      <c r="N28" s="3">
        <f>IF(N9&lt;&gt;"",-(1-UnosPodataka!$M$10)*FinaIndikatori!N18,"")</f>
        <v>0</v>
      </c>
      <c r="O28" s="3">
        <f>IF(O9&lt;&gt;"",-(1-UnosPodataka!$M$10)*FinaIndikatori!O18,"")</f>
        <v>0</v>
      </c>
      <c r="P28" s="3">
        <f>IF(P9&lt;&gt;"",-(1-UnosPodataka!$M$10)*FinaIndikatori!P18,"")</f>
        <v>0</v>
      </c>
      <c r="Q28" s="3">
        <f>IF(Q9&lt;&gt;"",-(1-UnosPodataka!$M$10)*FinaIndikatori!Q18,"")</f>
        <v>0</v>
      </c>
      <c r="R28" s="3">
        <f>IF(R9&lt;&gt;"",-(1-UnosPodataka!$M$10)*FinaIndikatori!R18,"")</f>
        <v>0</v>
      </c>
      <c r="S28" s="3">
        <f>IF(S9&lt;&gt;"",-(1-UnosPodataka!$M$10)*FinaIndikatori!S18,"")</f>
        <v>0</v>
      </c>
      <c r="T28" s="3">
        <f>IF(T9&lt;&gt;"",-(1-UnosPodataka!$M$10)*FinaIndikatori!T18,"")</f>
        <v>0</v>
      </c>
      <c r="U28" s="3">
        <f>IF(U9&lt;&gt;"",-(1-UnosPodataka!$M$10)*FinaIndikatori!U18,"")</f>
        <v>0</v>
      </c>
      <c r="V28" s="3">
        <f>IF(V9&lt;&gt;"",-(1-UnosPodataka!$M$10)*FinaIndikatori!V18,"")</f>
        <v>0</v>
      </c>
      <c r="W28" s="3">
        <f>IF(W9&lt;&gt;"",-(1-UnosPodataka!$M$10)*FinaIndikatori!W18,"")</f>
        <v>0</v>
      </c>
      <c r="X28" s="3">
        <f>IF(X9&lt;&gt;"",-(1-UnosPodataka!$M$10)*FinaIndikatori!X18,"")</f>
        <v>0</v>
      </c>
      <c r="Y28" s="3">
        <f>IF(Y9&lt;&gt;"",-(1-UnosPodataka!$M$10)*FinaIndikatori!Y18,"")</f>
        <v>0</v>
      </c>
    </row>
    <row r="29" spans="1:25" x14ac:dyDescent="0.25">
      <c r="A29" s="72" t="s">
        <v>97</v>
      </c>
      <c r="B29" s="72"/>
      <c r="C29" s="72"/>
      <c r="D29" s="72"/>
      <c r="E29" s="30"/>
      <c r="F29" s="31">
        <f t="shared" ref="F29:Y29" si="5">IF(F9&lt;&gt;"",SUM(F22:F28),"")</f>
        <v>-9253.2692874888126</v>
      </c>
      <c r="G29" s="31">
        <f t="shared" si="5"/>
        <v>-9253.2692874888126</v>
      </c>
      <c r="H29" s="31">
        <f t="shared" si="5"/>
        <v>-9253.2692874888126</v>
      </c>
      <c r="I29" s="31">
        <f t="shared" si="5"/>
        <v>-9253.2692874888126</v>
      </c>
      <c r="J29" s="31">
        <f t="shared" si="5"/>
        <v>-9253.2692874888126</v>
      </c>
      <c r="K29" s="31">
        <f t="shared" si="5"/>
        <v>-6395.9490484960097</v>
      </c>
      <c r="L29" s="31">
        <f t="shared" si="5"/>
        <v>-6395.9490484960097</v>
      </c>
      <c r="M29" s="31">
        <f t="shared" si="5"/>
        <v>-6395.9490484960097</v>
      </c>
      <c r="N29" s="31">
        <f t="shared" si="5"/>
        <v>-6395.9490484960097</v>
      </c>
      <c r="O29" s="31">
        <f t="shared" si="5"/>
        <v>-6395.9490484960097</v>
      </c>
      <c r="P29" s="31">
        <f t="shared" si="5"/>
        <v>-6395.9490484960097</v>
      </c>
      <c r="Q29" s="31">
        <f t="shared" si="5"/>
        <v>-6395.9490484960097</v>
      </c>
      <c r="R29" s="31">
        <f t="shared" si="5"/>
        <v>-6395.9490484960097</v>
      </c>
      <c r="S29" s="31">
        <f t="shared" si="5"/>
        <v>-6395.9490484960097</v>
      </c>
      <c r="T29" s="31">
        <f t="shared" si="5"/>
        <v>-6395.9490484960097</v>
      </c>
      <c r="U29" s="31">
        <f t="shared" si="5"/>
        <v>-6395.9490484960097</v>
      </c>
      <c r="V29" s="31">
        <f t="shared" si="5"/>
        <v>-6395.9490484960097</v>
      </c>
      <c r="W29" s="31">
        <f t="shared" si="5"/>
        <v>-6395.9490484960097</v>
      </c>
      <c r="X29" s="31">
        <f t="shared" si="5"/>
        <v>-6395.9490484960097</v>
      </c>
      <c r="Y29" s="31">
        <f t="shared" si="5"/>
        <v>-6395.9490484960097</v>
      </c>
    </row>
    <row r="31" spans="1:25" x14ac:dyDescent="0.25">
      <c r="A31" t="s">
        <v>154</v>
      </c>
      <c r="E31" s="3">
        <f>-SUM(E11:E13)</f>
        <v>-41300</v>
      </c>
      <c r="F31" s="3">
        <f>+F29-F27-F34</f>
        <v>-5123.2692874888126</v>
      </c>
      <c r="G31" s="3">
        <f t="shared" ref="G31:Y31" si="6">+G29-G27-G34</f>
        <v>-5123.2692874888126</v>
      </c>
      <c r="H31" s="3">
        <f t="shared" si="6"/>
        <v>-5123.2692874888126</v>
      </c>
      <c r="I31" s="3">
        <f t="shared" si="6"/>
        <v>-5123.2692874888126</v>
      </c>
      <c r="J31" s="3">
        <f t="shared" si="6"/>
        <v>-5123.2692874888126</v>
      </c>
      <c r="K31" s="3">
        <f t="shared" si="6"/>
        <v>-2265.9490484960097</v>
      </c>
      <c r="L31" s="3">
        <f t="shared" si="6"/>
        <v>-2265.9490484960097</v>
      </c>
      <c r="M31" s="3">
        <f t="shared" si="6"/>
        <v>-2265.9490484960097</v>
      </c>
      <c r="N31" s="3">
        <f t="shared" si="6"/>
        <v>-2265.9490484960097</v>
      </c>
      <c r="O31" s="3">
        <f t="shared" si="6"/>
        <v>-2265.9490484960097</v>
      </c>
      <c r="P31" s="3">
        <f t="shared" si="6"/>
        <v>-2265.9490484960097</v>
      </c>
      <c r="Q31" s="3">
        <f t="shared" si="6"/>
        <v>-2265.9490484960097</v>
      </c>
      <c r="R31" s="3">
        <f t="shared" si="6"/>
        <v>-2265.9490484960097</v>
      </c>
      <c r="S31" s="3">
        <f t="shared" si="6"/>
        <v>-2265.9490484960097</v>
      </c>
      <c r="T31" s="3">
        <f t="shared" si="6"/>
        <v>-2265.9490484960097</v>
      </c>
      <c r="U31" s="3">
        <f t="shared" si="6"/>
        <v>-2265.9490484960097</v>
      </c>
      <c r="V31" s="3">
        <f t="shared" si="6"/>
        <v>-2265.9490484960097</v>
      </c>
      <c r="W31" s="3">
        <f t="shared" si="6"/>
        <v>-2265.9490484960097</v>
      </c>
      <c r="X31" s="3">
        <f t="shared" si="6"/>
        <v>-2265.9490484960097</v>
      </c>
      <c r="Y31" s="3">
        <f t="shared" si="6"/>
        <v>-2265.9490484960097</v>
      </c>
    </row>
    <row r="32" spans="1:25" x14ac:dyDescent="0.25">
      <c r="A32" s="59" t="s">
        <v>155</v>
      </c>
      <c r="B32" s="59"/>
      <c r="C32" s="59"/>
      <c r="D32" s="59"/>
      <c r="F32" s="3">
        <f>IF(F9&lt;&gt;"",F19+F29-F23,"")</f>
        <v>-2044.7063078916854</v>
      </c>
      <c r="G32" s="3">
        <f t="shared" ref="G32:Y32" si="7">IF(G9&lt;&gt;"",G19+G29-G23,"")</f>
        <v>-1850.1478792125488</v>
      </c>
      <c r="H32" s="3">
        <f t="shared" si="7"/>
        <v>-1632.2424390919159</v>
      </c>
      <c r="I32" s="3">
        <f t="shared" si="7"/>
        <v>-1388.1883461568073</v>
      </c>
      <c r="J32" s="3">
        <f t="shared" si="7"/>
        <v>-1114.8477620694853</v>
      </c>
      <c r="K32" s="3">
        <f t="shared" si="7"/>
        <v>-808.70630789168627</v>
      </c>
      <c r="L32" s="3">
        <f t="shared" si="7"/>
        <v>-808.70630789168627</v>
      </c>
      <c r="M32" s="3">
        <f t="shared" si="7"/>
        <v>-808.70630789168627</v>
      </c>
      <c r="N32" s="3">
        <f t="shared" si="7"/>
        <v>-808.70630789168627</v>
      </c>
      <c r="O32" s="3">
        <f t="shared" si="7"/>
        <v>-808.70630789168627</v>
      </c>
      <c r="P32" s="3">
        <f t="shared" si="7"/>
        <v>-808.70630789168627</v>
      </c>
      <c r="Q32" s="3">
        <f t="shared" si="7"/>
        <v>-808.70630789168627</v>
      </c>
      <c r="R32" s="3">
        <f t="shared" si="7"/>
        <v>-808.70630789168627</v>
      </c>
      <c r="S32" s="3">
        <f t="shared" si="7"/>
        <v>-808.70630789168627</v>
      </c>
      <c r="T32" s="3">
        <f t="shared" si="7"/>
        <v>-808.70630789168627</v>
      </c>
      <c r="U32" s="3">
        <f t="shared" si="7"/>
        <v>-808.70630789168627</v>
      </c>
      <c r="V32" s="3">
        <f t="shared" si="7"/>
        <v>-808.70630789168627</v>
      </c>
      <c r="W32" s="3">
        <f t="shared" si="7"/>
        <v>-808.70630789168627</v>
      </c>
      <c r="X32" s="3">
        <f t="shared" si="7"/>
        <v>-808.70630789168627</v>
      </c>
      <c r="Y32" s="3">
        <f t="shared" si="7"/>
        <v>-808.70630789168627</v>
      </c>
    </row>
    <row r="33" spans="1:25" x14ac:dyDescent="0.25">
      <c r="A33" s="73"/>
      <c r="B33" s="73"/>
      <c r="C33" s="73"/>
      <c r="D33" s="73"/>
    </row>
    <row r="34" spans="1:25" x14ac:dyDescent="0.25">
      <c r="A34" s="66" t="s">
        <v>98</v>
      </c>
      <c r="B34" s="66"/>
      <c r="C34" s="66"/>
      <c r="D34" s="66"/>
      <c r="F34" s="3">
        <f>IF(F9&lt;&gt;"",IF(F33&gt;0,F33*VAT,0),"")</f>
        <v>0</v>
      </c>
      <c r="G34" s="3">
        <f t="shared" ref="G34:Y34" si="8">IF(G9&lt;&gt;"",IF(G33&gt;0,G33*VAT,0),"")</f>
        <v>0</v>
      </c>
      <c r="H34" s="3">
        <f t="shared" si="8"/>
        <v>0</v>
      </c>
      <c r="I34" s="3">
        <f t="shared" si="8"/>
        <v>0</v>
      </c>
      <c r="J34" s="3">
        <f t="shared" si="8"/>
        <v>0</v>
      </c>
      <c r="K34" s="3">
        <f t="shared" si="8"/>
        <v>0</v>
      </c>
      <c r="L34" s="3">
        <f t="shared" si="8"/>
        <v>0</v>
      </c>
      <c r="M34" s="3">
        <f t="shared" si="8"/>
        <v>0</v>
      </c>
      <c r="N34" s="3">
        <f t="shared" si="8"/>
        <v>0</v>
      </c>
      <c r="O34" s="3">
        <f t="shared" si="8"/>
        <v>0</v>
      </c>
      <c r="P34" s="3">
        <f t="shared" si="8"/>
        <v>0</v>
      </c>
      <c r="Q34" s="3">
        <f t="shared" si="8"/>
        <v>0</v>
      </c>
      <c r="R34" s="3">
        <f t="shared" si="8"/>
        <v>0</v>
      </c>
      <c r="S34" s="3">
        <f t="shared" si="8"/>
        <v>0</v>
      </c>
      <c r="T34" s="3">
        <f t="shared" si="8"/>
        <v>0</v>
      </c>
      <c r="U34" s="3">
        <f t="shared" si="8"/>
        <v>0</v>
      </c>
      <c r="V34" s="3">
        <f t="shared" si="8"/>
        <v>0</v>
      </c>
      <c r="W34" s="3">
        <f t="shared" si="8"/>
        <v>0</v>
      </c>
      <c r="X34" s="3">
        <f t="shared" si="8"/>
        <v>0</v>
      </c>
      <c r="Y34" s="3">
        <f t="shared" si="8"/>
        <v>0</v>
      </c>
    </row>
    <row r="35" spans="1:25" x14ac:dyDescent="0.25">
      <c r="A35" s="59" t="s">
        <v>99</v>
      </c>
      <c r="B35" s="59"/>
      <c r="C35" s="59"/>
      <c r="D35" s="59"/>
      <c r="E35" s="31"/>
      <c r="F35" s="31">
        <f>IF(F9&lt;&gt;"",F32-F34,"")</f>
        <v>-2044.7063078916854</v>
      </c>
      <c r="G35" s="31">
        <f t="shared" ref="G35:Y35" si="9">IF(G9&lt;&gt;"",G32-G34,"")</f>
        <v>-1850.1478792125488</v>
      </c>
      <c r="H35" s="31">
        <f t="shared" si="9"/>
        <v>-1632.2424390919159</v>
      </c>
      <c r="I35" s="31">
        <f t="shared" si="9"/>
        <v>-1388.1883461568073</v>
      </c>
      <c r="J35" s="31">
        <f t="shared" si="9"/>
        <v>-1114.8477620694853</v>
      </c>
      <c r="K35" s="31">
        <f t="shared" si="9"/>
        <v>-808.70630789168627</v>
      </c>
      <c r="L35" s="31">
        <f t="shared" si="9"/>
        <v>-808.70630789168627</v>
      </c>
      <c r="M35" s="31">
        <f t="shared" si="9"/>
        <v>-808.70630789168627</v>
      </c>
      <c r="N35" s="31">
        <f t="shared" si="9"/>
        <v>-808.70630789168627</v>
      </c>
      <c r="O35" s="31">
        <f t="shared" si="9"/>
        <v>-808.70630789168627</v>
      </c>
      <c r="P35" s="31">
        <f t="shared" si="9"/>
        <v>-808.70630789168627</v>
      </c>
      <c r="Q35" s="31">
        <f t="shared" si="9"/>
        <v>-808.70630789168627</v>
      </c>
      <c r="R35" s="31">
        <f t="shared" si="9"/>
        <v>-808.70630789168627</v>
      </c>
      <c r="S35" s="31">
        <f t="shared" si="9"/>
        <v>-808.70630789168627</v>
      </c>
      <c r="T35" s="31">
        <f t="shared" si="9"/>
        <v>-808.70630789168627</v>
      </c>
      <c r="U35" s="31">
        <f t="shared" si="9"/>
        <v>-808.70630789168627</v>
      </c>
      <c r="V35" s="31">
        <f t="shared" si="9"/>
        <v>-808.70630789168627</v>
      </c>
      <c r="W35" s="31">
        <f t="shared" si="9"/>
        <v>-808.70630789168627</v>
      </c>
      <c r="X35" s="31">
        <f t="shared" si="9"/>
        <v>-808.70630789168627</v>
      </c>
      <c r="Y35" s="31">
        <f t="shared" si="9"/>
        <v>-808.70630789168627</v>
      </c>
    </row>
    <row r="37" spans="1:25" x14ac:dyDescent="0.25">
      <c r="A37" s="32" t="s">
        <v>164</v>
      </c>
      <c r="E37" s="3">
        <f>-SUM(E11:E13)</f>
        <v>-41300</v>
      </c>
      <c r="F37" s="3">
        <f>+F35+F23-F27</f>
        <v>463.97345311551089</v>
      </c>
      <c r="G37" s="3">
        <f t="shared" ref="G37:Y37" si="10">+G35+G23-G27</f>
        <v>463.97345311551089</v>
      </c>
      <c r="H37" s="3">
        <f t="shared" si="10"/>
        <v>463.97345311551089</v>
      </c>
      <c r="I37" s="3">
        <f t="shared" si="10"/>
        <v>463.97345311551089</v>
      </c>
      <c r="J37" s="3">
        <f t="shared" si="10"/>
        <v>463.97345311551089</v>
      </c>
      <c r="K37" s="3">
        <f t="shared" si="10"/>
        <v>3321.2936921083137</v>
      </c>
      <c r="L37" s="3">
        <f t="shared" si="10"/>
        <v>3321.2936921083137</v>
      </c>
      <c r="M37" s="3">
        <f t="shared" si="10"/>
        <v>3321.2936921083137</v>
      </c>
      <c r="N37" s="3">
        <f t="shared" si="10"/>
        <v>3321.2936921083137</v>
      </c>
      <c r="O37" s="3">
        <f t="shared" si="10"/>
        <v>3321.2936921083137</v>
      </c>
      <c r="P37" s="3">
        <f t="shared" si="10"/>
        <v>3321.2936921083137</v>
      </c>
      <c r="Q37" s="3">
        <f t="shared" si="10"/>
        <v>3321.2936921083137</v>
      </c>
      <c r="R37" s="3">
        <f t="shared" si="10"/>
        <v>3321.2936921083137</v>
      </c>
      <c r="S37" s="3">
        <f t="shared" si="10"/>
        <v>3321.2936921083137</v>
      </c>
      <c r="T37" s="3">
        <f t="shared" si="10"/>
        <v>3321.2936921083137</v>
      </c>
      <c r="U37" s="3">
        <f t="shared" si="10"/>
        <v>3321.2936921083137</v>
      </c>
      <c r="V37" s="3">
        <f t="shared" si="10"/>
        <v>3321.2936921083137</v>
      </c>
      <c r="W37" s="3">
        <f t="shared" si="10"/>
        <v>3321.2936921083137</v>
      </c>
      <c r="X37" s="3">
        <f t="shared" si="10"/>
        <v>3321.2936921083137</v>
      </c>
      <c r="Y37" s="3">
        <f t="shared" si="10"/>
        <v>3321.2936921083137</v>
      </c>
    </row>
    <row r="38" spans="1:25" x14ac:dyDescent="0.25">
      <c r="A38" s="32" t="s">
        <v>165</v>
      </c>
      <c r="E38" s="3">
        <f>+E37</f>
        <v>-41300</v>
      </c>
      <c r="F38" s="3">
        <f>+E38+F37</f>
        <v>-40836.026546884488</v>
      </c>
      <c r="G38" s="3">
        <f t="shared" ref="G38:Y38" si="11">+F38+G37</f>
        <v>-40372.053093768976</v>
      </c>
      <c r="H38" s="3">
        <f t="shared" si="11"/>
        <v>-39908.079640653465</v>
      </c>
      <c r="I38" s="3">
        <f t="shared" si="11"/>
        <v>-39444.106187537953</v>
      </c>
      <c r="J38" s="3">
        <f t="shared" si="11"/>
        <v>-38980.132734422441</v>
      </c>
      <c r="K38" s="3">
        <f t="shared" si="11"/>
        <v>-35658.839042314125</v>
      </c>
      <c r="L38" s="3">
        <f t="shared" si="11"/>
        <v>-32337.545350205812</v>
      </c>
      <c r="M38" s="3">
        <f t="shared" si="11"/>
        <v>-29016.251658097499</v>
      </c>
      <c r="N38" s="3">
        <f t="shared" si="11"/>
        <v>-25694.957965989186</v>
      </c>
      <c r="O38" s="3">
        <f t="shared" si="11"/>
        <v>-22373.664273880873</v>
      </c>
      <c r="P38" s="3">
        <f t="shared" si="11"/>
        <v>-19052.37058177256</v>
      </c>
      <c r="Q38" s="3">
        <f t="shared" si="11"/>
        <v>-15731.076889664248</v>
      </c>
      <c r="R38" s="3">
        <f t="shared" si="11"/>
        <v>-12409.783197555935</v>
      </c>
      <c r="S38" s="3">
        <f t="shared" si="11"/>
        <v>-9088.4895054476219</v>
      </c>
      <c r="T38" s="3">
        <f t="shared" si="11"/>
        <v>-5767.1958133393082</v>
      </c>
      <c r="U38" s="3">
        <f t="shared" si="11"/>
        <v>-2445.9021212309945</v>
      </c>
      <c r="V38" s="3">
        <f t="shared" si="11"/>
        <v>875.39157087731928</v>
      </c>
      <c r="W38" s="3">
        <f t="shared" si="11"/>
        <v>4196.685262985633</v>
      </c>
      <c r="X38" s="3">
        <f t="shared" si="11"/>
        <v>7517.9789550939468</v>
      </c>
      <c r="Y38" s="3">
        <f t="shared" si="11"/>
        <v>10839.27264720226</v>
      </c>
    </row>
    <row r="39" spans="1:25" x14ac:dyDescent="0.25">
      <c r="A39" s="18"/>
    </row>
    <row r="40" spans="1:25" x14ac:dyDescent="0.25">
      <c r="A40" s="32" t="s">
        <v>62</v>
      </c>
      <c r="E40" s="7">
        <f>+PomTab1!L25</f>
        <v>3.6985472154963679E-2</v>
      </c>
    </row>
    <row r="41" spans="1:25" x14ac:dyDescent="0.25">
      <c r="A41" s="32" t="s">
        <v>166</v>
      </c>
      <c r="E41" s="3">
        <f>IF(E9&lt;&gt;"",E38*(1+$E$40)^-E9,"")</f>
        <v>-41300</v>
      </c>
      <c r="F41" s="3">
        <f>IF(F9&lt;&gt;"",F37*(1+$E$40)^-F9,"")</f>
        <v>447.42522009621393</v>
      </c>
      <c r="G41" s="3">
        <f t="shared" ref="G41:Y41" si="12">IF(G9&lt;&gt;"",G37*(1+$E$40)^-G9,"")</f>
        <v>431.46720191404199</v>
      </c>
      <c r="H41" s="3">
        <f t="shared" si="12"/>
        <v>416.0783477683716</v>
      </c>
      <c r="I41" s="3">
        <f t="shared" si="12"/>
        <v>401.23835766350476</v>
      </c>
      <c r="J41" s="3">
        <f t="shared" si="12"/>
        <v>386.92765563020833</v>
      </c>
      <c r="K41" s="3">
        <f t="shared" si="12"/>
        <v>2670.9837637485011</v>
      </c>
      <c r="L41" s="3">
        <f t="shared" si="12"/>
        <v>2575.7195596944271</v>
      </c>
      <c r="M41" s="3">
        <f t="shared" si="12"/>
        <v>2483.8530807397083</v>
      </c>
      <c r="N41" s="3">
        <f t="shared" si="12"/>
        <v>2395.2631424797137</v>
      </c>
      <c r="O41" s="3">
        <f t="shared" si="12"/>
        <v>2309.8328827134951</v>
      </c>
      <c r="P41" s="3">
        <f t="shared" si="12"/>
        <v>2227.4496072866114</v>
      </c>
      <c r="Q41" s="3">
        <f t="shared" si="12"/>
        <v>2148.0046414321882</v>
      </c>
      <c r="R41" s="3">
        <f t="shared" si="12"/>
        <v>2071.3931864140886</v>
      </c>
      <c r="S41" s="3">
        <f t="shared" si="12"/>
        <v>1997.5141812830977</v>
      </c>
      <c r="T41" s="3">
        <f t="shared" si="12"/>
        <v>1926.2701695637597</v>
      </c>
      <c r="U41" s="3">
        <f t="shared" si="12"/>
        <v>1857.5671706960084</v>
      </c>
      <c r="V41" s="3">
        <f t="shared" si="12"/>
        <v>1791.3145560619964</v>
      </c>
      <c r="W41" s="3">
        <f t="shared" si="12"/>
        <v>1727.424929434603</v>
      </c>
      <c r="X41" s="3">
        <f t="shared" si="12"/>
        <v>1665.8140116898978</v>
      </c>
      <c r="Y41" s="3">
        <f t="shared" si="12"/>
        <v>1606.4005296314933</v>
      </c>
    </row>
    <row r="42" spans="1:25" x14ac:dyDescent="0.25">
      <c r="A42" s="32" t="s">
        <v>167</v>
      </c>
      <c r="E42" s="3">
        <f>+E41</f>
        <v>-41300</v>
      </c>
      <c r="F42" s="3">
        <f>+E42+F41</f>
        <v>-40852.574779903785</v>
      </c>
      <c r="G42" s="3">
        <f t="shared" ref="G42:Y42" si="13">+F42+G41</f>
        <v>-40421.107577989744</v>
      </c>
      <c r="H42" s="3">
        <f t="shared" si="13"/>
        <v>-40005.029230221371</v>
      </c>
      <c r="I42" s="3">
        <f t="shared" si="13"/>
        <v>-39603.790872557867</v>
      </c>
      <c r="J42" s="3">
        <f t="shared" si="13"/>
        <v>-39216.863216927661</v>
      </c>
      <c r="K42" s="3">
        <f t="shared" si="13"/>
        <v>-36545.879453179157</v>
      </c>
      <c r="L42" s="3">
        <f t="shared" si="13"/>
        <v>-33970.159893484728</v>
      </c>
      <c r="M42" s="3">
        <f t="shared" si="13"/>
        <v>-31486.306812745021</v>
      </c>
      <c r="N42" s="3">
        <f t="shared" si="13"/>
        <v>-29091.043670265306</v>
      </c>
      <c r="O42" s="3">
        <f t="shared" si="13"/>
        <v>-26781.210787551812</v>
      </c>
      <c r="P42" s="3">
        <f t="shared" si="13"/>
        <v>-24553.761180265203</v>
      </c>
      <c r="Q42" s="3">
        <f t="shared" si="13"/>
        <v>-22405.756538833015</v>
      </c>
      <c r="R42" s="3">
        <f t="shared" si="13"/>
        <v>-20334.363352418928</v>
      </c>
      <c r="S42" s="3">
        <f t="shared" si="13"/>
        <v>-18336.849171135829</v>
      </c>
      <c r="T42" s="3">
        <f t="shared" si="13"/>
        <v>-16410.57900157207</v>
      </c>
      <c r="U42" s="3">
        <f t="shared" si="13"/>
        <v>-14553.011830876061</v>
      </c>
      <c r="V42" s="3">
        <f t="shared" si="13"/>
        <v>-12761.697274814065</v>
      </c>
      <c r="W42" s="3">
        <f t="shared" si="13"/>
        <v>-11034.272345379462</v>
      </c>
      <c r="X42" s="3">
        <f t="shared" si="13"/>
        <v>-9368.4583336895648</v>
      </c>
      <c r="Y42" s="3">
        <f t="shared" si="13"/>
        <v>-7762.0578040580713</v>
      </c>
    </row>
    <row r="43" spans="1:25" x14ac:dyDescent="0.25">
      <c r="A43" s="32"/>
    </row>
    <row r="44" spans="1:25" x14ac:dyDescent="0.25">
      <c r="A44" s="33" t="s">
        <v>168</v>
      </c>
      <c r="B44" s="37"/>
      <c r="C44" s="37"/>
      <c r="D44" s="37"/>
      <c r="E44" s="34">
        <f>+NPV(E40,E37:Y37)</f>
        <v>-7485.2136432805555</v>
      </c>
      <c r="F44" s="35"/>
    </row>
    <row r="45" spans="1:25" x14ac:dyDescent="0.25">
      <c r="A45" s="33" t="s">
        <v>169</v>
      </c>
      <c r="B45" s="37"/>
      <c r="C45" s="37"/>
      <c r="D45" s="37"/>
      <c r="E45" s="36">
        <f>+IRR(E37:Y37,10%)</f>
        <v>1.9058185215270251E-2</v>
      </c>
      <c r="F45" s="37"/>
    </row>
    <row r="46" spans="1:25" x14ac:dyDescent="0.25">
      <c r="A46" s="33" t="s">
        <v>170</v>
      </c>
      <c r="B46" s="37"/>
      <c r="C46" s="37"/>
      <c r="D46" s="37"/>
      <c r="E46" s="34" cm="1">
        <f t="array" ref="E46">+NPV(E40,F18:Y18/-NPV(E40,E31:Y31))</f>
        <v>0.9431314402005152</v>
      </c>
      <c r="F46" s="37"/>
    </row>
    <row r="47" spans="1:25" x14ac:dyDescent="0.25">
      <c r="A47" s="33" t="s">
        <v>171</v>
      </c>
      <c r="B47" s="37"/>
      <c r="C47" s="37"/>
      <c r="D47" s="37"/>
      <c r="E47" s="38" cm="1">
        <f t="array" ref="E47">+LOOKUP(INDEX(E38:Y38,MATCH(TRUE,E38:Y38&gt;0,0)),E38:Y38,E9:Y9)</f>
        <v>17</v>
      </c>
      <c r="F47" s="37" t="s">
        <v>173</v>
      </c>
    </row>
    <row r="48" spans="1:25" x14ac:dyDescent="0.25">
      <c r="A48" s="33" t="s">
        <v>172</v>
      </c>
      <c r="B48" s="37"/>
      <c r="C48" s="37"/>
      <c r="D48" s="37"/>
      <c r="E48" s="38" t="e" cm="1">
        <f t="array" ref="E48">+LOOKUP(INDEX(E42:Y42,MATCH(TRUE,E42:Y42&gt;0,0)),E42:Y42,E9:Y9)</f>
        <v>#N/A</v>
      </c>
      <c r="F48" s="37" t="s">
        <v>173</v>
      </c>
    </row>
    <row r="51" spans="1:26" x14ac:dyDescent="0.25">
      <c r="A51" s="66" t="s">
        <v>156</v>
      </c>
      <c r="B51" s="66"/>
      <c r="C51" s="66"/>
      <c r="D51" s="66"/>
      <c r="E51" s="3">
        <f>IF(E9&lt;&gt;"",E31,"")</f>
        <v>-41300</v>
      </c>
      <c r="F51" s="3">
        <f>IF(F9&lt;&gt;"",F31,"")</f>
        <v>-5123.2692874888126</v>
      </c>
      <c r="G51" s="3">
        <f t="shared" ref="G51:Y51" si="14">IF(G9&lt;&gt;"",G31,"")</f>
        <v>-5123.2692874888126</v>
      </c>
      <c r="H51" s="3">
        <f t="shared" si="14"/>
        <v>-5123.2692874888126</v>
      </c>
      <c r="I51" s="3">
        <f t="shared" si="14"/>
        <v>-5123.2692874888126</v>
      </c>
      <c r="J51" s="3">
        <f t="shared" si="14"/>
        <v>-5123.2692874888126</v>
      </c>
      <c r="K51" s="3">
        <f t="shared" si="14"/>
        <v>-2265.9490484960097</v>
      </c>
      <c r="L51" s="3">
        <f t="shared" si="14"/>
        <v>-2265.9490484960097</v>
      </c>
      <c r="M51" s="3">
        <f t="shared" si="14"/>
        <v>-2265.9490484960097</v>
      </c>
      <c r="N51" s="3">
        <f t="shared" si="14"/>
        <v>-2265.9490484960097</v>
      </c>
      <c r="O51" s="3">
        <f t="shared" si="14"/>
        <v>-2265.9490484960097</v>
      </c>
      <c r="P51" s="3">
        <f t="shared" si="14"/>
        <v>-2265.9490484960097</v>
      </c>
      <c r="Q51" s="3">
        <f t="shared" si="14"/>
        <v>-2265.9490484960097</v>
      </c>
      <c r="R51" s="3">
        <f t="shared" si="14"/>
        <v>-2265.9490484960097</v>
      </c>
      <c r="S51" s="3">
        <f t="shared" si="14"/>
        <v>-2265.9490484960097</v>
      </c>
      <c r="T51" s="3">
        <f t="shared" si="14"/>
        <v>-2265.9490484960097</v>
      </c>
      <c r="U51" s="3">
        <f t="shared" si="14"/>
        <v>-2265.9490484960097</v>
      </c>
      <c r="V51" s="3">
        <f t="shared" si="14"/>
        <v>-2265.9490484960097</v>
      </c>
      <c r="W51" s="3">
        <f t="shared" si="14"/>
        <v>-2265.9490484960097</v>
      </c>
      <c r="X51" s="3">
        <f t="shared" si="14"/>
        <v>-2265.9490484960097</v>
      </c>
      <c r="Y51" s="3">
        <f t="shared" si="14"/>
        <v>-2265.9490484960097</v>
      </c>
      <c r="Z51" s="3"/>
    </row>
    <row r="52" spans="1:26" x14ac:dyDescent="0.25">
      <c r="A52" s="66" t="s">
        <v>157</v>
      </c>
      <c r="B52" s="66"/>
      <c r="C52" s="66"/>
      <c r="D52" s="66"/>
      <c r="E52" s="3">
        <f>IF(E9&lt;&gt;"",E51*(1+$E$40)^-E9,"")</f>
        <v>-41300</v>
      </c>
      <c r="F52" s="3">
        <f>IF(F9&lt;&gt;"",F51*(1+$E$40)^-F9,"")</f>
        <v>-4940.5410442656703</v>
      </c>
      <c r="G52" s="3">
        <f t="shared" ref="G52:Y52" si="15">IF(G9&lt;&gt;"",G51*(1+$E$40)^-G9,"")</f>
        <v>-4764.3300479405088</v>
      </c>
      <c r="H52" s="3">
        <f t="shared" si="15"/>
        <v>-4594.4038521964403</v>
      </c>
      <c r="I52" s="3">
        <f t="shared" si="15"/>
        <v>-4430.538301224984</v>
      </c>
      <c r="J52" s="3">
        <f t="shared" si="15"/>
        <v>-4272.5172340340168</v>
      </c>
      <c r="K52" s="3">
        <f t="shared" si="15"/>
        <v>-1822.2757994558071</v>
      </c>
      <c r="L52" s="3">
        <f t="shared" si="15"/>
        <v>-1757.2818987221954</v>
      </c>
      <c r="M52" s="3">
        <f t="shared" si="15"/>
        <v>-1694.6060922824513</v>
      </c>
      <c r="N52" s="3">
        <f t="shared" si="15"/>
        <v>-1634.1657022068819</v>
      </c>
      <c r="O52" s="3">
        <f t="shared" si="15"/>
        <v>-1575.8809993846064</v>
      </c>
      <c r="P52" s="3">
        <f t="shared" si="15"/>
        <v>-1519.6750983499912</v>
      </c>
      <c r="Q52" s="3">
        <f t="shared" si="15"/>
        <v>-1465.4738558602451</v>
      </c>
      <c r="R52" s="3">
        <f t="shared" si="15"/>
        <v>-1413.2057730903771</v>
      </c>
      <c r="S52" s="3">
        <f t="shared" si="15"/>
        <v>-1362.801901316504</v>
      </c>
      <c r="T52" s="3">
        <f t="shared" si="15"/>
        <v>-1314.195750963087</v>
      </c>
      <c r="U52" s="3">
        <f t="shared" si="15"/>
        <v>-1267.3232038941217</v>
      </c>
      <c r="V52" s="3">
        <f t="shared" si="15"/>
        <v>-1222.122428832578</v>
      </c>
      <c r="W52" s="3">
        <f t="shared" si="15"/>
        <v>-1178.5337997965203</v>
      </c>
      <c r="X52" s="3">
        <f t="shared" si="15"/>
        <v>-1136.4998174443124</v>
      </c>
      <c r="Y52" s="3">
        <f t="shared" si="15"/>
        <v>-1095.9650332251497</v>
      </c>
      <c r="Z52" s="3"/>
    </row>
    <row r="53" spans="1:26" x14ac:dyDescent="0.25">
      <c r="A53" s="66" t="s">
        <v>158</v>
      </c>
      <c r="B53" s="66"/>
      <c r="C53" s="66"/>
      <c r="D53" s="66"/>
      <c r="E53" s="3">
        <f>+E52</f>
        <v>-41300</v>
      </c>
      <c r="F53" s="3">
        <f>+E53+F52</f>
        <v>-46240.541044265672</v>
      </c>
      <c r="G53" s="3">
        <f t="shared" ref="G53:Y53" si="16">+F53+G52</f>
        <v>-51004.87109220618</v>
      </c>
      <c r="H53" s="3">
        <f t="shared" si="16"/>
        <v>-55599.274944402619</v>
      </c>
      <c r="I53" s="3">
        <f t="shared" si="16"/>
        <v>-60029.813245627607</v>
      </c>
      <c r="J53" s="3">
        <f t="shared" si="16"/>
        <v>-64302.330479661621</v>
      </c>
      <c r="K53" s="3">
        <f t="shared" si="16"/>
        <v>-66124.606279117434</v>
      </c>
      <c r="L53" s="3">
        <f t="shared" si="16"/>
        <v>-67881.888177839632</v>
      </c>
      <c r="M53" s="3">
        <f t="shared" si="16"/>
        <v>-69576.494270122086</v>
      </c>
      <c r="N53" s="3">
        <f t="shared" si="16"/>
        <v>-71210.659972328969</v>
      </c>
      <c r="O53" s="3">
        <f t="shared" si="16"/>
        <v>-72786.540971713577</v>
      </c>
      <c r="P53" s="3">
        <f t="shared" si="16"/>
        <v>-74306.216070063572</v>
      </c>
      <c r="Q53" s="3">
        <f t="shared" si="16"/>
        <v>-75771.689925923813</v>
      </c>
      <c r="R53" s="3">
        <f t="shared" si="16"/>
        <v>-77184.895699014189</v>
      </c>
      <c r="S53" s="3">
        <f t="shared" si="16"/>
        <v>-78547.697600330692</v>
      </c>
      <c r="T53" s="3">
        <f t="shared" si="16"/>
        <v>-79861.89335129378</v>
      </c>
      <c r="U53" s="3">
        <f t="shared" si="16"/>
        <v>-81129.216555187901</v>
      </c>
      <c r="V53" s="3">
        <f t="shared" si="16"/>
        <v>-82351.338984020476</v>
      </c>
      <c r="W53" s="3">
        <f t="shared" si="16"/>
        <v>-83529.872783817002</v>
      </c>
      <c r="X53" s="3">
        <f t="shared" si="16"/>
        <v>-84666.372601261319</v>
      </c>
      <c r="Y53" s="3">
        <f t="shared" si="16"/>
        <v>-85762.337634486466</v>
      </c>
    </row>
    <row r="54" spans="1:26" x14ac:dyDescent="0.25">
      <c r="A54" s="66" t="s">
        <v>159</v>
      </c>
      <c r="B54" s="66"/>
      <c r="C54" s="66"/>
      <c r="D54" s="66"/>
      <c r="F54" s="3">
        <f t="shared" ref="F54:Y54" si="17">IF(F9&lt;&gt;"",F19,"")</f>
        <v>5587.2427406043234</v>
      </c>
      <c r="G54" s="3">
        <f t="shared" si="17"/>
        <v>5587.2427406043234</v>
      </c>
      <c r="H54" s="3">
        <f t="shared" si="17"/>
        <v>5587.2427406043234</v>
      </c>
      <c r="I54" s="3">
        <f t="shared" si="17"/>
        <v>5587.2427406043234</v>
      </c>
      <c r="J54" s="3">
        <f t="shared" si="17"/>
        <v>5587.2427406043234</v>
      </c>
      <c r="K54" s="3">
        <f t="shared" si="17"/>
        <v>5587.2427406043234</v>
      </c>
      <c r="L54" s="3">
        <f t="shared" si="17"/>
        <v>5587.2427406043234</v>
      </c>
      <c r="M54" s="3">
        <f t="shared" si="17"/>
        <v>5587.2427406043234</v>
      </c>
      <c r="N54" s="3">
        <f t="shared" si="17"/>
        <v>5587.2427406043234</v>
      </c>
      <c r="O54" s="3">
        <f t="shared" si="17"/>
        <v>5587.2427406043234</v>
      </c>
      <c r="P54" s="3">
        <f t="shared" si="17"/>
        <v>5587.2427406043234</v>
      </c>
      <c r="Q54" s="3">
        <f t="shared" si="17"/>
        <v>5587.2427406043234</v>
      </c>
      <c r="R54" s="3">
        <f t="shared" si="17"/>
        <v>5587.2427406043234</v>
      </c>
      <c r="S54" s="3">
        <f t="shared" si="17"/>
        <v>5587.2427406043234</v>
      </c>
      <c r="T54" s="3">
        <f t="shared" si="17"/>
        <v>5587.2427406043234</v>
      </c>
      <c r="U54" s="3">
        <f t="shared" si="17"/>
        <v>5587.2427406043234</v>
      </c>
      <c r="V54" s="3">
        <f t="shared" si="17"/>
        <v>5587.2427406043234</v>
      </c>
      <c r="W54" s="3">
        <f t="shared" si="17"/>
        <v>5587.2427406043234</v>
      </c>
      <c r="X54" s="3">
        <f t="shared" si="17"/>
        <v>5587.2427406043234</v>
      </c>
      <c r="Y54" s="3">
        <f t="shared" si="17"/>
        <v>5587.2427406043234</v>
      </c>
    </row>
    <row r="55" spans="1:26" x14ac:dyDescent="0.25">
      <c r="A55" s="66" t="s">
        <v>160</v>
      </c>
      <c r="B55" s="66"/>
      <c r="C55" s="66"/>
      <c r="D55" s="66"/>
      <c r="F55" s="3">
        <f>IF(F9&lt;&gt;"",F54*(1+$E$40)^-F9,"")</f>
        <v>5387.966264361884</v>
      </c>
      <c r="G55" s="3">
        <f t="shared" ref="G55:Y55" si="18">IF(G9&lt;&gt;"",G54*(1+$E$40)^-G9,"")</f>
        <v>5195.7972498545514</v>
      </c>
      <c r="H55" s="3">
        <f t="shared" si="18"/>
        <v>5010.482199964812</v>
      </c>
      <c r="I55" s="3">
        <f t="shared" si="18"/>
        <v>4831.7766588884888</v>
      </c>
      <c r="J55" s="3">
        <f t="shared" si="18"/>
        <v>4659.4448896642252</v>
      </c>
      <c r="K55" s="3">
        <f t="shared" si="18"/>
        <v>4493.2595632043076</v>
      </c>
      <c r="L55" s="3">
        <f t="shared" si="18"/>
        <v>4333.0014584166229</v>
      </c>
      <c r="M55" s="3">
        <f t="shared" si="18"/>
        <v>4178.45917302216</v>
      </c>
      <c r="N55" s="3">
        <f t="shared" si="18"/>
        <v>4029.4288446865958</v>
      </c>
      <c r="O55" s="3">
        <f t="shared" si="18"/>
        <v>3885.7138820981013</v>
      </c>
      <c r="P55" s="3">
        <f t="shared" si="18"/>
        <v>3747.1247056366028</v>
      </c>
      <c r="Q55" s="3">
        <f t="shared" si="18"/>
        <v>3613.4784972924335</v>
      </c>
      <c r="R55" s="3">
        <f t="shared" si="18"/>
        <v>3484.5989595044657</v>
      </c>
      <c r="S55" s="3">
        <f t="shared" si="18"/>
        <v>3360.3160825996019</v>
      </c>
      <c r="T55" s="3">
        <f t="shared" si="18"/>
        <v>3240.4659205268467</v>
      </c>
      <c r="U55" s="3">
        <f t="shared" si="18"/>
        <v>3124.8903745901302</v>
      </c>
      <c r="V55" s="3">
        <f t="shared" si="18"/>
        <v>3013.4369848945744</v>
      </c>
      <c r="W55" s="3">
        <f t="shared" si="18"/>
        <v>2905.958729231123</v>
      </c>
      <c r="X55" s="3">
        <f t="shared" si="18"/>
        <v>2802.3138291342102</v>
      </c>
      <c r="Y55" s="3">
        <f t="shared" si="18"/>
        <v>2702.365562856643</v>
      </c>
    </row>
    <row r="56" spans="1:26" x14ac:dyDescent="0.25">
      <c r="A56" s="66" t="s">
        <v>161</v>
      </c>
      <c r="B56" s="66"/>
      <c r="C56" s="66"/>
      <c r="D56" s="66"/>
      <c r="F56" s="3">
        <f t="shared" ref="F56:Y56" si="19">IF(F9&lt;&gt;"",E56+F55,"")</f>
        <v>5387.966264361884</v>
      </c>
      <c r="G56" s="3">
        <f t="shared" si="19"/>
        <v>10583.763514216436</v>
      </c>
      <c r="H56" s="3">
        <f t="shared" si="19"/>
        <v>15594.245714181248</v>
      </c>
      <c r="I56" s="3">
        <f t="shared" si="19"/>
        <v>20426.022373069736</v>
      </c>
      <c r="J56" s="3">
        <f t="shared" si="19"/>
        <v>25085.467262733961</v>
      </c>
      <c r="K56" s="3">
        <f t="shared" si="19"/>
        <v>29578.726825938269</v>
      </c>
      <c r="L56" s="3">
        <f t="shared" si="19"/>
        <v>33911.728284354889</v>
      </c>
      <c r="M56" s="3">
        <f t="shared" si="19"/>
        <v>38090.187457377047</v>
      </c>
      <c r="N56" s="3">
        <f t="shared" si="19"/>
        <v>42119.616302063645</v>
      </c>
      <c r="O56" s="3">
        <f t="shared" si="19"/>
        <v>46005.330184161743</v>
      </c>
      <c r="P56" s="3">
        <f t="shared" si="19"/>
        <v>49752.454889798348</v>
      </c>
      <c r="Q56" s="3">
        <f t="shared" si="19"/>
        <v>53365.933387090779</v>
      </c>
      <c r="R56" s="3">
        <f t="shared" si="19"/>
        <v>56850.532346595246</v>
      </c>
      <c r="S56" s="3">
        <f t="shared" si="19"/>
        <v>60210.848429194848</v>
      </c>
      <c r="T56" s="3">
        <f t="shared" si="19"/>
        <v>63451.314349721695</v>
      </c>
      <c r="U56" s="3">
        <f t="shared" si="19"/>
        <v>66576.204724311829</v>
      </c>
      <c r="V56" s="3">
        <f t="shared" si="19"/>
        <v>69589.641709206408</v>
      </c>
      <c r="W56" s="3">
        <f t="shared" si="19"/>
        <v>72495.600438437526</v>
      </c>
      <c r="X56" s="3">
        <f t="shared" si="19"/>
        <v>75297.91426757173</v>
      </c>
      <c r="Y56" s="3">
        <f t="shared" si="19"/>
        <v>78000.279830428379</v>
      </c>
    </row>
    <row r="57" spans="1:26" x14ac:dyDescent="0.25">
      <c r="A57" s="66" t="s">
        <v>162</v>
      </c>
      <c r="B57" s="66"/>
      <c r="C57" s="66"/>
      <c r="D57" s="66"/>
      <c r="F57" s="3">
        <f t="shared" ref="F57:Y57" si="20">IF(F9&lt;&gt;"",F56+F53,"")</f>
        <v>-40852.574779903785</v>
      </c>
      <c r="G57" s="3">
        <f t="shared" si="20"/>
        <v>-40421.107577989744</v>
      </c>
      <c r="H57" s="3">
        <f t="shared" si="20"/>
        <v>-40005.029230221371</v>
      </c>
      <c r="I57" s="3">
        <f t="shared" si="20"/>
        <v>-39603.790872557875</v>
      </c>
      <c r="J57" s="3">
        <f t="shared" si="20"/>
        <v>-39216.863216927661</v>
      </c>
      <c r="K57" s="3">
        <f t="shared" si="20"/>
        <v>-36545.879453179165</v>
      </c>
      <c r="L57" s="3">
        <f t="shared" si="20"/>
        <v>-33970.159893484742</v>
      </c>
      <c r="M57" s="3">
        <f t="shared" si="20"/>
        <v>-31486.306812745039</v>
      </c>
      <c r="N57" s="3">
        <f t="shared" si="20"/>
        <v>-29091.043670265324</v>
      </c>
      <c r="O57" s="3">
        <f t="shared" si="20"/>
        <v>-26781.210787551834</v>
      </c>
      <c r="P57" s="3">
        <f t="shared" si="20"/>
        <v>-24553.761180265225</v>
      </c>
      <c r="Q57" s="3">
        <f t="shared" si="20"/>
        <v>-22405.756538833033</v>
      </c>
      <c r="R57" s="3">
        <f t="shared" si="20"/>
        <v>-20334.363352418943</v>
      </c>
      <c r="S57" s="3">
        <f t="shared" si="20"/>
        <v>-18336.849171135844</v>
      </c>
      <c r="T57" s="3">
        <f t="shared" si="20"/>
        <v>-16410.579001572085</v>
      </c>
      <c r="U57" s="3">
        <f t="shared" si="20"/>
        <v>-14553.011830876072</v>
      </c>
      <c r="V57" s="3">
        <f t="shared" si="20"/>
        <v>-12761.697274814069</v>
      </c>
      <c r="W57" s="3">
        <f t="shared" si="20"/>
        <v>-11034.272345379475</v>
      </c>
      <c r="X57" s="3">
        <f t="shared" si="20"/>
        <v>-9368.4583336895885</v>
      </c>
      <c r="Y57" s="3">
        <f t="shared" si="20"/>
        <v>-7762.0578040580876</v>
      </c>
    </row>
    <row r="58" spans="1:26" x14ac:dyDescent="0.25">
      <c r="A58" s="29" t="s">
        <v>163</v>
      </c>
      <c r="B58" s="29"/>
      <c r="C58" s="29"/>
      <c r="D58" s="29"/>
      <c r="E58" s="37"/>
      <c r="F58" s="39">
        <f>-F51/HEAT</f>
        <v>67.492855690770298</v>
      </c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60" spans="1:26" x14ac:dyDescent="0.25">
      <c r="A60" s="66" t="s">
        <v>100</v>
      </c>
      <c r="B60" s="66"/>
      <c r="C60" s="66"/>
      <c r="D60" s="66"/>
      <c r="E60" s="3">
        <f>E11</f>
        <v>10300</v>
      </c>
      <c r="F60" s="3">
        <f t="shared" ref="F60:Y60" si="21">IF(F9="",E60,-F53)</f>
        <v>46240.541044265672</v>
      </c>
      <c r="G60" s="3">
        <f t="shared" si="21"/>
        <v>51004.87109220618</v>
      </c>
      <c r="H60" s="3">
        <f t="shared" si="21"/>
        <v>55599.274944402619</v>
      </c>
      <c r="I60" s="3">
        <f t="shared" si="21"/>
        <v>60029.813245627607</v>
      </c>
      <c r="J60" s="3">
        <f t="shared" si="21"/>
        <v>64302.330479661621</v>
      </c>
      <c r="K60" s="3">
        <f t="shared" si="21"/>
        <v>66124.606279117434</v>
      </c>
      <c r="L60" s="3">
        <f t="shared" si="21"/>
        <v>67881.888177839632</v>
      </c>
      <c r="M60" s="3">
        <f t="shared" si="21"/>
        <v>69576.494270122086</v>
      </c>
      <c r="N60" s="3">
        <f t="shared" si="21"/>
        <v>71210.659972328969</v>
      </c>
      <c r="O60" s="3">
        <f t="shared" si="21"/>
        <v>72786.540971713577</v>
      </c>
      <c r="P60" s="3">
        <f t="shared" si="21"/>
        <v>74306.216070063572</v>
      </c>
      <c r="Q60" s="3">
        <f t="shared" si="21"/>
        <v>75771.689925923813</v>
      </c>
      <c r="R60" s="3">
        <f t="shared" si="21"/>
        <v>77184.895699014189</v>
      </c>
      <c r="S60" s="3">
        <f t="shared" si="21"/>
        <v>78547.697600330692</v>
      </c>
      <c r="T60" s="3">
        <f t="shared" si="21"/>
        <v>79861.89335129378</v>
      </c>
      <c r="U60" s="3">
        <f t="shared" si="21"/>
        <v>81129.216555187901</v>
      </c>
      <c r="V60" s="3">
        <f t="shared" si="21"/>
        <v>82351.338984020476</v>
      </c>
      <c r="W60" s="3">
        <f t="shared" si="21"/>
        <v>83529.872783817002</v>
      </c>
      <c r="X60" s="3">
        <f t="shared" si="21"/>
        <v>84666.372601261319</v>
      </c>
      <c r="Y60" s="3">
        <f t="shared" si="21"/>
        <v>85762.337634486466</v>
      </c>
    </row>
    <row r="61" spans="1:26" x14ac:dyDescent="0.25">
      <c r="A61" s="66" t="s">
        <v>101</v>
      </c>
      <c r="B61" s="66"/>
      <c r="C61" s="66"/>
      <c r="D61" s="66"/>
      <c r="F61" s="3">
        <f t="shared" ref="F61:Y61" si="22">IF(F9="",E61,F56)</f>
        <v>5387.966264361884</v>
      </c>
      <c r="G61" s="3">
        <f t="shared" si="22"/>
        <v>10583.763514216436</v>
      </c>
      <c r="H61" s="3">
        <f t="shared" si="22"/>
        <v>15594.245714181248</v>
      </c>
      <c r="I61" s="3">
        <f t="shared" si="22"/>
        <v>20426.022373069736</v>
      </c>
      <c r="J61" s="3">
        <f t="shared" si="22"/>
        <v>25085.467262733961</v>
      </c>
      <c r="K61" s="3">
        <f t="shared" si="22"/>
        <v>29578.726825938269</v>
      </c>
      <c r="L61" s="3">
        <f t="shared" si="22"/>
        <v>33911.728284354889</v>
      </c>
      <c r="M61" s="3">
        <f t="shared" si="22"/>
        <v>38090.187457377047</v>
      </c>
      <c r="N61" s="3">
        <f t="shared" si="22"/>
        <v>42119.616302063645</v>
      </c>
      <c r="O61" s="3">
        <f t="shared" si="22"/>
        <v>46005.330184161743</v>
      </c>
      <c r="P61" s="3">
        <f t="shared" si="22"/>
        <v>49752.454889798348</v>
      </c>
      <c r="Q61" s="3">
        <f t="shared" si="22"/>
        <v>53365.933387090779</v>
      </c>
      <c r="R61" s="3">
        <f t="shared" si="22"/>
        <v>56850.532346595246</v>
      </c>
      <c r="S61" s="3">
        <f t="shared" si="22"/>
        <v>60210.848429194848</v>
      </c>
      <c r="T61" s="3">
        <f t="shared" si="22"/>
        <v>63451.314349721695</v>
      </c>
      <c r="U61" s="3">
        <f t="shared" si="22"/>
        <v>66576.204724311829</v>
      </c>
      <c r="V61" s="3">
        <f t="shared" si="22"/>
        <v>69589.641709206408</v>
      </c>
      <c r="W61" s="3">
        <f t="shared" si="22"/>
        <v>72495.600438437526</v>
      </c>
      <c r="X61" s="3">
        <f t="shared" si="22"/>
        <v>75297.91426757173</v>
      </c>
      <c r="Y61" s="3">
        <f t="shared" si="22"/>
        <v>78000.279830428379</v>
      </c>
    </row>
  </sheetData>
  <sheetProtection selectLockedCells="1"/>
  <mergeCells count="36">
    <mergeCell ref="F3:I3"/>
    <mergeCell ref="A26:D26"/>
    <mergeCell ref="A7:D7"/>
    <mergeCell ref="A9:D9"/>
    <mergeCell ref="A11:D11"/>
    <mergeCell ref="A12:D12"/>
    <mergeCell ref="A22:D22"/>
    <mergeCell ref="I7:J7"/>
    <mergeCell ref="A17:D17"/>
    <mergeCell ref="A21:D21"/>
    <mergeCell ref="A56:D56"/>
    <mergeCell ref="A32:D32"/>
    <mergeCell ref="A34:D34"/>
    <mergeCell ref="A35:D35"/>
    <mergeCell ref="A33:D33"/>
    <mergeCell ref="A51:D51"/>
    <mergeCell ref="A52:D52"/>
    <mergeCell ref="A53:D53"/>
    <mergeCell ref="A54:D54"/>
    <mergeCell ref="A55:D55"/>
    <mergeCell ref="N7:O7"/>
    <mergeCell ref="A57:D57"/>
    <mergeCell ref="A60:D60"/>
    <mergeCell ref="A61:D61"/>
    <mergeCell ref="A25:D25"/>
    <mergeCell ref="A29:D29"/>
    <mergeCell ref="A28:D28"/>
    <mergeCell ref="A13:D13"/>
    <mergeCell ref="A18:D18"/>
    <mergeCell ref="A20:D20"/>
    <mergeCell ref="A14:D14"/>
    <mergeCell ref="A19:D19"/>
    <mergeCell ref="A24:D24"/>
    <mergeCell ref="A16:D16"/>
    <mergeCell ref="A15:D15"/>
    <mergeCell ref="A27:D27"/>
  </mergeCells>
  <dataValidations count="2">
    <dataValidation allowBlank="1" showInputMessage="1" showErrorMessage="1" promptTitle="BrutoDobit" prompt="Bruto dobit prema Bilansu uspeha, ne obuhvata otplatu glavice." sqref="A32:D32"/>
    <dataValidation allowBlank="1" showInputMessage="1" showErrorMessage="1" promptTitle="CashFlow" prompt="Ne obuhvata amortizaciju, ali obuhvata otplatu glavnice." sqref="A37"/>
  </dataValidations>
  <hyperlinks>
    <hyperlink ref="I7:J7" location="Anuiteti!I4" display="NAZAD"/>
    <hyperlink ref="N7:O7" location="EkonIndikatori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3"/>
  <sheetViews>
    <sheetView showZeros="0" tabSelected="1" topLeftCell="A15" zoomScaleNormal="100" workbookViewId="0">
      <selection activeCell="E47" sqref="E47"/>
    </sheetView>
    <sheetView topLeftCell="A19" workbookViewId="1">
      <selection activeCell="J49" sqref="J49"/>
    </sheetView>
  </sheetViews>
  <sheetFormatPr defaultRowHeight="15" x14ac:dyDescent="0.25"/>
  <cols>
    <col min="4" max="5" width="12.140625" customWidth="1"/>
    <col min="6" max="6" width="11.85546875" customWidth="1"/>
    <col min="7" max="8" width="11.28515625" customWidth="1"/>
    <col min="9" max="9" width="12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1.85546875" customWidth="1"/>
    <col min="20" max="20" width="12" customWidth="1"/>
    <col min="21" max="21" width="12.28515625" customWidth="1"/>
    <col min="22" max="22" width="12.7109375" customWidth="1"/>
    <col min="23" max="23" width="12.28515625" customWidth="1"/>
    <col min="24" max="24" width="12.7109375" customWidth="1"/>
    <col min="25" max="25" width="13" customWidth="1"/>
  </cols>
  <sheetData>
    <row r="3" spans="1:25" ht="16.5" x14ac:dyDescent="0.35">
      <c r="F3" s="56" t="s">
        <v>147</v>
      </c>
      <c r="G3" s="56"/>
      <c r="H3" s="56"/>
      <c r="I3" s="56"/>
    </row>
    <row r="7" spans="1:25" ht="21" x14ac:dyDescent="0.35">
      <c r="A7" s="63" t="s">
        <v>86</v>
      </c>
      <c r="B7" s="63"/>
      <c r="C7" s="63"/>
      <c r="D7" s="63"/>
      <c r="I7" s="60" t="s">
        <v>130</v>
      </c>
      <c r="J7" s="60"/>
      <c r="N7" s="61" t="s">
        <v>131</v>
      </c>
      <c r="O7" s="61"/>
    </row>
    <row r="9" spans="1:25" x14ac:dyDescent="0.25">
      <c r="A9" s="59" t="s">
        <v>61</v>
      </c>
      <c r="B9" s="59"/>
      <c r="C9" s="59"/>
      <c r="D9" s="59"/>
      <c r="E9" s="16">
        <v>0</v>
      </c>
      <c r="F9" s="16">
        <v>1</v>
      </c>
      <c r="G9" s="16">
        <f>IF(F9&lt;UnosPodataka!$M$25,'FinInd+CO2'!F9+1,"")</f>
        <v>2</v>
      </c>
      <c r="H9" s="16">
        <f>IF(G9&lt;UnosPodataka!$M$25,'FinInd+CO2'!G9+1,"")</f>
        <v>3</v>
      </c>
      <c r="I9" s="16">
        <f>IF(H9&lt;UnosPodataka!$M$25,'FinInd+CO2'!H9+1,"")</f>
        <v>4</v>
      </c>
      <c r="J9" s="16">
        <f>IF(I9&lt;UnosPodataka!$M$25,'FinInd+CO2'!I9+1,"")</f>
        <v>5</v>
      </c>
      <c r="K9" s="16">
        <f>IF(J9&lt;UnosPodataka!$M$25,'FinInd+CO2'!J9+1,"")</f>
        <v>6</v>
      </c>
      <c r="L9" s="16">
        <f>IF(K9&lt;UnosPodataka!$M$25,'FinInd+CO2'!K9+1,"")</f>
        <v>7</v>
      </c>
      <c r="M9" s="16">
        <f>IF(L9&lt;UnosPodataka!$M$25,'FinInd+CO2'!L9+1,"")</f>
        <v>8</v>
      </c>
      <c r="N9" s="16">
        <f>IF(M9&lt;UnosPodataka!$M$25,'FinInd+CO2'!M9+1,"")</f>
        <v>9</v>
      </c>
      <c r="O9" s="16">
        <f>IF(N9&lt;UnosPodataka!$M$25,'FinInd+CO2'!N9+1,"")</f>
        <v>10</v>
      </c>
      <c r="P9" s="16">
        <f>IF(O9&lt;UnosPodataka!$M$25,'FinInd+CO2'!O9+1,"")</f>
        <v>11</v>
      </c>
      <c r="Q9" s="16">
        <f>IF(P9&lt;UnosPodataka!$M$25,'FinInd+CO2'!P9+1,"")</f>
        <v>12</v>
      </c>
      <c r="R9" s="16">
        <f>IF(Q9&lt;UnosPodataka!$M$25,'FinInd+CO2'!Q9+1,"")</f>
        <v>13</v>
      </c>
      <c r="S9" s="16">
        <f>IF(R9&lt;UnosPodataka!$M$25,'FinInd+CO2'!R9+1,"")</f>
        <v>14</v>
      </c>
      <c r="T9" s="16">
        <f>IF(S9&lt;UnosPodataka!$M$25,'FinInd+CO2'!S9+1,"")</f>
        <v>15</v>
      </c>
      <c r="U9" s="16">
        <f>IF(T9&lt;UnosPodataka!$M$25,'FinInd+CO2'!T9+1,"")</f>
        <v>16</v>
      </c>
      <c r="V9" s="16">
        <f>IF(U9&lt;UnosPodataka!$M$25,'FinInd+CO2'!U9+1,"")</f>
        <v>17</v>
      </c>
      <c r="W9" s="16">
        <f>IF(V9&lt;UnosPodataka!$M$25,'FinInd+CO2'!V9+1,"")</f>
        <v>18</v>
      </c>
      <c r="X9" s="16">
        <f>IF(W9&lt;UnosPodataka!$M$25,'FinInd+CO2'!W9+1,"")</f>
        <v>19</v>
      </c>
      <c r="Y9" s="16">
        <f>IF(X9&lt;UnosPodataka!$M$25,'FinInd+CO2'!X9+1,"")</f>
        <v>20</v>
      </c>
    </row>
    <row r="11" spans="1:25" x14ac:dyDescent="0.25">
      <c r="A11" s="66" t="s">
        <v>87</v>
      </c>
      <c r="B11" s="66"/>
      <c r="C11" s="66"/>
      <c r="D11" s="66"/>
      <c r="E11" s="3">
        <f>Loan</f>
        <v>10300</v>
      </c>
    </row>
    <row r="12" spans="1:25" x14ac:dyDescent="0.25">
      <c r="A12" s="66" t="s">
        <v>88</v>
      </c>
      <c r="B12" s="66"/>
      <c r="C12" s="66"/>
      <c r="D12" s="66"/>
      <c r="E12" s="3">
        <f>IF(Equity=0,Loan,Equity)</f>
        <v>5000</v>
      </c>
    </row>
    <row r="13" spans="1:25" x14ac:dyDescent="0.25">
      <c r="A13" s="66" t="s">
        <v>149</v>
      </c>
      <c r="B13" s="66"/>
      <c r="C13" s="66"/>
      <c r="D13" s="66"/>
      <c r="E13" s="3">
        <f>+SUM(UnosPodataka!F22:F24)</f>
        <v>26000</v>
      </c>
    </row>
    <row r="14" spans="1:25" x14ac:dyDescent="0.25">
      <c r="A14" s="66" t="s">
        <v>89</v>
      </c>
      <c r="B14" s="66"/>
      <c r="C14" s="66"/>
      <c r="D14" s="66"/>
      <c r="F14" s="3">
        <f t="shared" ref="F14:Y14" si="0">IF(F9&lt;&gt;"",HEAT,"")</f>
        <v>75.908319999999989</v>
      </c>
      <c r="G14" s="3">
        <f t="shared" si="0"/>
        <v>75.908319999999989</v>
      </c>
      <c r="H14" s="3">
        <f t="shared" si="0"/>
        <v>75.908319999999989</v>
      </c>
      <c r="I14" s="3">
        <f t="shared" si="0"/>
        <v>75.908319999999989</v>
      </c>
      <c r="J14" s="3">
        <f t="shared" si="0"/>
        <v>75.908319999999989</v>
      </c>
      <c r="K14" s="3">
        <f t="shared" si="0"/>
        <v>75.908319999999989</v>
      </c>
      <c r="L14" s="3">
        <f t="shared" si="0"/>
        <v>75.908319999999989</v>
      </c>
      <c r="M14" s="3">
        <f t="shared" si="0"/>
        <v>75.908319999999989</v>
      </c>
      <c r="N14" s="3">
        <f t="shared" si="0"/>
        <v>75.908319999999989</v>
      </c>
      <c r="O14" s="3">
        <f t="shared" si="0"/>
        <v>75.908319999999989</v>
      </c>
      <c r="P14" s="3">
        <f t="shared" si="0"/>
        <v>75.908319999999989</v>
      </c>
      <c r="Q14" s="3">
        <f t="shared" si="0"/>
        <v>75.908319999999989</v>
      </c>
      <c r="R14" s="3">
        <f t="shared" si="0"/>
        <v>75.908319999999989</v>
      </c>
      <c r="S14" s="3">
        <f t="shared" si="0"/>
        <v>75.908319999999989</v>
      </c>
      <c r="T14" s="3">
        <f t="shared" si="0"/>
        <v>75.908319999999989</v>
      </c>
      <c r="U14" s="3">
        <f t="shared" si="0"/>
        <v>75.908319999999989</v>
      </c>
      <c r="V14" s="3">
        <f t="shared" si="0"/>
        <v>75.908319999999989</v>
      </c>
      <c r="W14" s="3">
        <f t="shared" si="0"/>
        <v>75.908319999999989</v>
      </c>
      <c r="X14" s="3">
        <f t="shared" si="0"/>
        <v>75.908319999999989</v>
      </c>
      <c r="Y14" s="3">
        <f t="shared" si="0"/>
        <v>75.908319999999989</v>
      </c>
    </row>
    <row r="15" spans="1:25" x14ac:dyDescent="0.25">
      <c r="A15" s="66" t="s">
        <v>90</v>
      </c>
      <c r="B15" s="66"/>
      <c r="C15" s="66"/>
      <c r="D15" s="66"/>
      <c r="F15" s="3">
        <f t="shared" ref="F15:Y15" si="1">EPOW*WHOUR</f>
        <v>9</v>
      </c>
      <c r="G15" s="3">
        <f t="shared" si="1"/>
        <v>9</v>
      </c>
      <c r="H15" s="3">
        <f t="shared" si="1"/>
        <v>9</v>
      </c>
      <c r="I15" s="3">
        <f t="shared" si="1"/>
        <v>9</v>
      </c>
      <c r="J15" s="3">
        <f t="shared" si="1"/>
        <v>9</v>
      </c>
      <c r="K15" s="3">
        <f t="shared" si="1"/>
        <v>9</v>
      </c>
      <c r="L15" s="3">
        <f t="shared" si="1"/>
        <v>9</v>
      </c>
      <c r="M15" s="3">
        <f t="shared" si="1"/>
        <v>9</v>
      </c>
      <c r="N15" s="3">
        <f t="shared" si="1"/>
        <v>9</v>
      </c>
      <c r="O15" s="3">
        <f t="shared" si="1"/>
        <v>9</v>
      </c>
      <c r="P15" s="3">
        <f t="shared" si="1"/>
        <v>9</v>
      </c>
      <c r="Q15" s="3">
        <f t="shared" si="1"/>
        <v>9</v>
      </c>
      <c r="R15" s="3">
        <f t="shared" si="1"/>
        <v>9</v>
      </c>
      <c r="S15" s="3">
        <f t="shared" si="1"/>
        <v>9</v>
      </c>
      <c r="T15" s="3">
        <f t="shared" si="1"/>
        <v>9</v>
      </c>
      <c r="U15" s="3">
        <f t="shared" si="1"/>
        <v>9</v>
      </c>
      <c r="V15" s="3">
        <f t="shared" si="1"/>
        <v>9</v>
      </c>
      <c r="W15" s="3">
        <f t="shared" si="1"/>
        <v>9</v>
      </c>
      <c r="X15" s="3">
        <f t="shared" si="1"/>
        <v>9</v>
      </c>
      <c r="Y15" s="3">
        <f t="shared" si="1"/>
        <v>9</v>
      </c>
    </row>
    <row r="16" spans="1:25" ht="18" x14ac:dyDescent="0.35">
      <c r="A16" s="66" t="s">
        <v>103</v>
      </c>
      <c r="B16" s="66"/>
      <c r="C16" s="66"/>
      <c r="D16" s="66"/>
      <c r="F16" s="3">
        <f>+F14*KonvFaktor!$E$21-F15*Gorivo!$C$20</f>
        <v>11.705166854736841</v>
      </c>
      <c r="G16" s="3">
        <f>+G14*KonvFaktor!$E$21-G15*Gorivo!$C$20</f>
        <v>11.705166854736841</v>
      </c>
      <c r="H16" s="3">
        <f>+H14*KonvFaktor!$E$21-H15*Gorivo!$C$20</f>
        <v>11.705166854736841</v>
      </c>
      <c r="I16" s="3">
        <f>+I14*KonvFaktor!$E$21-I15*Gorivo!$C$20</f>
        <v>11.705166854736841</v>
      </c>
      <c r="J16" s="3">
        <f>+J14*KonvFaktor!$E$21-J15*Gorivo!$C$20</f>
        <v>11.705166854736841</v>
      </c>
      <c r="K16" s="3">
        <f>+K14*KonvFaktor!$E$21-K15*Gorivo!$C$20</f>
        <v>11.705166854736841</v>
      </c>
      <c r="L16" s="3">
        <f>+L14*KonvFaktor!$E$21-L15*Gorivo!$C$20</f>
        <v>11.705166854736841</v>
      </c>
      <c r="M16" s="3">
        <f>+M14*KonvFaktor!$E$21-M15*Gorivo!$C$20</f>
        <v>11.705166854736841</v>
      </c>
      <c r="N16" s="3">
        <f>+N14*KonvFaktor!$E$21-N15*Gorivo!$C$20</f>
        <v>11.705166854736841</v>
      </c>
      <c r="O16" s="3">
        <f>+O14*KonvFaktor!$E$21-O15*Gorivo!$C$20</f>
        <v>11.705166854736841</v>
      </c>
      <c r="P16" s="3">
        <f>+P14*KonvFaktor!$E$21-P15*Gorivo!$C$20</f>
        <v>11.705166854736841</v>
      </c>
      <c r="Q16" s="3">
        <f>+Q14*KonvFaktor!$E$21-Q15*Gorivo!$C$20</f>
        <v>11.705166854736841</v>
      </c>
      <c r="R16" s="3">
        <f>+R14*KonvFaktor!$E$21-R15*Gorivo!$C$20</f>
        <v>11.705166854736841</v>
      </c>
      <c r="S16" s="3">
        <f>+S14*KonvFaktor!$E$21-S15*Gorivo!$C$20</f>
        <v>11.705166854736841</v>
      </c>
      <c r="T16" s="3">
        <f>+T14*KonvFaktor!$E$21-T15*Gorivo!$C$20</f>
        <v>11.705166854736841</v>
      </c>
      <c r="U16" s="3">
        <f>+U14*KonvFaktor!$E$21-U15*Gorivo!$C$20</f>
        <v>11.705166854736841</v>
      </c>
      <c r="V16" s="3">
        <f>+V14*KonvFaktor!$E$21-V15*Gorivo!$C$20</f>
        <v>11.705166854736841</v>
      </c>
      <c r="W16" s="3">
        <f>+W14*KonvFaktor!$E$21-W15*Gorivo!$C$20</f>
        <v>11.705166854736841</v>
      </c>
      <c r="X16" s="3">
        <f>+X14*KonvFaktor!$E$21-X15*Gorivo!$C$20</f>
        <v>11.705166854736841</v>
      </c>
      <c r="Y16" s="3">
        <f>+Y14*KonvFaktor!$E$21-Y15*Gorivo!$C$20</f>
        <v>11.705166854736841</v>
      </c>
    </row>
    <row r="17" spans="1:25" x14ac:dyDescent="0.25">
      <c r="A17" s="71"/>
      <c r="B17" s="71"/>
      <c r="C17" s="71"/>
      <c r="D17" s="71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59" t="s">
        <v>150</v>
      </c>
      <c r="B18" s="59"/>
      <c r="C18" s="59"/>
      <c r="D18" s="59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x14ac:dyDescent="0.25">
      <c r="A19" s="66" t="s">
        <v>91</v>
      </c>
      <c r="B19" s="66"/>
      <c r="C19" s="66"/>
      <c r="D19" s="66"/>
      <c r="F19" s="3">
        <f t="shared" ref="F19:Y19" si="2">IF(F9&lt;&gt;"",F14*etagrid*HPrice/Kurs_EUR,"")</f>
        <v>5587.2427406043234</v>
      </c>
      <c r="G19" s="3">
        <f t="shared" si="2"/>
        <v>5587.2427406043234</v>
      </c>
      <c r="H19" s="3">
        <f t="shared" si="2"/>
        <v>5587.2427406043234</v>
      </c>
      <c r="I19" s="3">
        <f t="shared" si="2"/>
        <v>5587.2427406043234</v>
      </c>
      <c r="J19" s="3">
        <f t="shared" si="2"/>
        <v>5587.2427406043234</v>
      </c>
      <c r="K19" s="3">
        <f t="shared" si="2"/>
        <v>5587.2427406043234</v>
      </c>
      <c r="L19" s="3">
        <f t="shared" si="2"/>
        <v>5587.2427406043234</v>
      </c>
      <c r="M19" s="3">
        <f t="shared" si="2"/>
        <v>5587.2427406043234</v>
      </c>
      <c r="N19" s="3">
        <f t="shared" si="2"/>
        <v>5587.2427406043234</v>
      </c>
      <c r="O19" s="3">
        <f t="shared" si="2"/>
        <v>5587.2427406043234</v>
      </c>
      <c r="P19" s="3">
        <f t="shared" si="2"/>
        <v>5587.2427406043234</v>
      </c>
      <c r="Q19" s="3">
        <f t="shared" si="2"/>
        <v>5587.2427406043234</v>
      </c>
      <c r="R19" s="3">
        <f t="shared" si="2"/>
        <v>5587.2427406043234</v>
      </c>
      <c r="S19" s="3">
        <f t="shared" si="2"/>
        <v>5587.2427406043234</v>
      </c>
      <c r="T19" s="3">
        <f t="shared" si="2"/>
        <v>5587.2427406043234</v>
      </c>
      <c r="U19" s="3">
        <f t="shared" si="2"/>
        <v>5587.2427406043234</v>
      </c>
      <c r="V19" s="3">
        <f t="shared" si="2"/>
        <v>5587.2427406043234</v>
      </c>
      <c r="W19" s="3">
        <f t="shared" si="2"/>
        <v>5587.2427406043234</v>
      </c>
      <c r="X19" s="3">
        <f t="shared" si="2"/>
        <v>5587.2427406043234</v>
      </c>
      <c r="Y19" s="3">
        <f t="shared" si="2"/>
        <v>5587.2427406043234</v>
      </c>
    </row>
    <row r="20" spans="1:25" ht="18" x14ac:dyDescent="0.35">
      <c r="A20" s="66" t="s">
        <v>104</v>
      </c>
      <c r="B20" s="66"/>
      <c r="C20" s="66"/>
      <c r="D20" s="66"/>
      <c r="F20" s="3">
        <f t="shared" ref="F20:Y20" si="3">+F16*CO2Tax</f>
        <v>1140.5514583255579</v>
      </c>
      <c r="G20" s="3">
        <f t="shared" si="3"/>
        <v>1140.5514583255579</v>
      </c>
      <c r="H20" s="3">
        <f t="shared" si="3"/>
        <v>1140.5514583255579</v>
      </c>
      <c r="I20" s="3">
        <f t="shared" si="3"/>
        <v>1140.5514583255579</v>
      </c>
      <c r="J20" s="3">
        <f t="shared" si="3"/>
        <v>1140.5514583255579</v>
      </c>
      <c r="K20" s="3">
        <f t="shared" si="3"/>
        <v>1140.5514583255579</v>
      </c>
      <c r="L20" s="3">
        <f t="shared" si="3"/>
        <v>1140.5514583255579</v>
      </c>
      <c r="M20" s="3">
        <f t="shared" si="3"/>
        <v>1140.5514583255579</v>
      </c>
      <c r="N20" s="3">
        <f t="shared" si="3"/>
        <v>1140.5514583255579</v>
      </c>
      <c r="O20" s="3">
        <f t="shared" si="3"/>
        <v>1140.5514583255579</v>
      </c>
      <c r="P20" s="3">
        <f t="shared" si="3"/>
        <v>1140.5514583255579</v>
      </c>
      <c r="Q20" s="3">
        <f t="shared" si="3"/>
        <v>1140.5514583255579</v>
      </c>
      <c r="R20" s="3">
        <f t="shared" si="3"/>
        <v>1140.5514583255579</v>
      </c>
      <c r="S20" s="3">
        <f t="shared" si="3"/>
        <v>1140.5514583255579</v>
      </c>
      <c r="T20" s="3">
        <f t="shared" si="3"/>
        <v>1140.5514583255579</v>
      </c>
      <c r="U20" s="3">
        <f t="shared" si="3"/>
        <v>1140.5514583255579</v>
      </c>
      <c r="V20" s="3">
        <f t="shared" si="3"/>
        <v>1140.5514583255579</v>
      </c>
      <c r="W20" s="3">
        <f t="shared" si="3"/>
        <v>1140.5514583255579</v>
      </c>
      <c r="X20" s="3">
        <f t="shared" si="3"/>
        <v>1140.5514583255579</v>
      </c>
      <c r="Y20" s="3">
        <f t="shared" si="3"/>
        <v>1140.5514583255579</v>
      </c>
    </row>
    <row r="21" spans="1:25" x14ac:dyDescent="0.25">
      <c r="A21" s="72" t="s">
        <v>92</v>
      </c>
      <c r="B21" s="72"/>
      <c r="C21" s="72"/>
      <c r="D21" s="72"/>
      <c r="E21" s="30"/>
      <c r="F21" s="31">
        <f>IF(F9&lt;&gt;"",F19+F20,"")</f>
        <v>6727.7941989298815</v>
      </c>
      <c r="G21" s="31">
        <f t="shared" ref="G21:Y21" si="4">IF(G9&lt;&gt;"",G19+G20,"")</f>
        <v>6727.7941989298815</v>
      </c>
      <c r="H21" s="31">
        <f t="shared" si="4"/>
        <v>6727.7941989298815</v>
      </c>
      <c r="I21" s="31">
        <f t="shared" si="4"/>
        <v>6727.7941989298815</v>
      </c>
      <c r="J21" s="31">
        <f t="shared" si="4"/>
        <v>6727.7941989298815</v>
      </c>
      <c r="K21" s="31">
        <f t="shared" si="4"/>
        <v>6727.7941989298815</v>
      </c>
      <c r="L21" s="31">
        <f t="shared" si="4"/>
        <v>6727.7941989298815</v>
      </c>
      <c r="M21" s="31">
        <f t="shared" si="4"/>
        <v>6727.7941989298815</v>
      </c>
      <c r="N21" s="31">
        <f t="shared" si="4"/>
        <v>6727.7941989298815</v>
      </c>
      <c r="O21" s="31">
        <f t="shared" si="4"/>
        <v>6727.7941989298815</v>
      </c>
      <c r="P21" s="31">
        <f t="shared" si="4"/>
        <v>6727.7941989298815</v>
      </c>
      <c r="Q21" s="31">
        <f t="shared" si="4"/>
        <v>6727.7941989298815</v>
      </c>
      <c r="R21" s="31">
        <f t="shared" si="4"/>
        <v>6727.7941989298815</v>
      </c>
      <c r="S21" s="31">
        <f t="shared" si="4"/>
        <v>6727.7941989298815</v>
      </c>
      <c r="T21" s="31">
        <f t="shared" si="4"/>
        <v>6727.7941989298815</v>
      </c>
      <c r="U21" s="31">
        <f t="shared" si="4"/>
        <v>6727.7941989298815</v>
      </c>
      <c r="V21" s="31">
        <f t="shared" si="4"/>
        <v>6727.7941989298815</v>
      </c>
      <c r="W21" s="31">
        <f t="shared" si="4"/>
        <v>6727.7941989298815</v>
      </c>
      <c r="X21" s="31">
        <f t="shared" si="4"/>
        <v>6727.7941989298815</v>
      </c>
      <c r="Y21" s="31">
        <f t="shared" si="4"/>
        <v>6727.7941989298815</v>
      </c>
    </row>
    <row r="22" spans="1:25" x14ac:dyDescent="0.25">
      <c r="A22" s="71"/>
      <c r="B22" s="71"/>
      <c r="C22" s="71"/>
      <c r="D22" s="71"/>
    </row>
    <row r="23" spans="1:25" x14ac:dyDescent="0.25">
      <c r="A23" s="59" t="s">
        <v>151</v>
      </c>
      <c r="B23" s="59"/>
      <c r="C23" s="59"/>
      <c r="D23" s="59"/>
    </row>
    <row r="24" spans="1:25" x14ac:dyDescent="0.25">
      <c r="A24" s="66" t="s">
        <v>93</v>
      </c>
      <c r="B24" s="66"/>
      <c r="C24" s="66"/>
      <c r="D24" s="66"/>
      <c r="F24" s="3">
        <f>IF(F9&gt;UnosPodataka!$M$22,"",-VLOOKUP(F9,Anuiteti!$B$13:$E$32,3,FALSE))</f>
        <v>-1236</v>
      </c>
      <c r="G24" s="3">
        <f>IF(G9&gt;UnosPodataka!$M$22,"",-VLOOKUP(G9,Anuiteti!$B$13:$E$32,3,FALSE))</f>
        <v>-1041.4415713208634</v>
      </c>
      <c r="H24" s="3">
        <f>IF(H9&gt;UnosPodataka!$M$22,"",-VLOOKUP(H9,Anuiteti!$B$13:$E$32,3,FALSE))</f>
        <v>-823.53613120023056</v>
      </c>
      <c r="I24" s="3">
        <f>IF(I9&gt;UnosPodataka!$M$22,"",-VLOOKUP(I9,Anuiteti!$B$13:$E$32,3,FALSE))</f>
        <v>-579.48203826512179</v>
      </c>
      <c r="J24" s="3">
        <f>IF(J9&gt;UnosPodataka!$M$22,"",-VLOOKUP(J9,Anuiteti!$B$13:$E$32,3,FALSE))</f>
        <v>-306.14145417779997</v>
      </c>
      <c r="K24" s="3" t="str">
        <f>IF(K9&gt;UnosPodataka!$M$22,"",-VLOOKUP(K9,Anuiteti!$B$13:$E$32,3,FALSE))</f>
        <v/>
      </c>
      <c r="L24" s="3" t="str">
        <f>IF(L9&gt;UnosPodataka!$M$22,"",-VLOOKUP(L9,Anuiteti!$B$13:$E$32,3,FALSE))</f>
        <v/>
      </c>
      <c r="M24" s="3" t="str">
        <f>IF(M9&gt;UnosPodataka!$M$22,"",-VLOOKUP(M9,Anuiteti!$B$13:$E$32,3,FALSE))</f>
        <v/>
      </c>
      <c r="N24" s="3" t="str">
        <f>IF(N9&gt;UnosPodataka!$M$22,"",-VLOOKUP(N9,Anuiteti!$B$13:$E$32,3,FALSE))</f>
        <v/>
      </c>
      <c r="O24" s="3" t="str">
        <f>IF(O9&gt;UnosPodataka!$M$22,"",-VLOOKUP(O9,Anuiteti!$B$13:$E$32,3,FALSE))</f>
        <v/>
      </c>
      <c r="P24" s="3" t="str">
        <f>IF(P9&gt;UnosPodataka!$M$22,"",-VLOOKUP(P9,Anuiteti!$B$13:$E$32,3,FALSE))</f>
        <v/>
      </c>
      <c r="Q24" s="3" t="str">
        <f>IF(Q9&gt;UnosPodataka!$M$22,"",-VLOOKUP(Q9,Anuiteti!$B$13:$E$32,3,FALSE))</f>
        <v/>
      </c>
      <c r="R24" s="3" t="str">
        <f>IF(R9&gt;UnosPodataka!$M$22,"",-VLOOKUP(R9,Anuiteti!$B$13:$E$32,3,FALSE))</f>
        <v/>
      </c>
      <c r="S24" s="3" t="str">
        <f>IF(S9&gt;UnosPodataka!$M$22,"",-VLOOKUP(S9,Anuiteti!$B$13:$E$32,3,FALSE))</f>
        <v/>
      </c>
      <c r="T24" s="3" t="str">
        <f>IF(T9&gt;UnosPodataka!$M$22,"",-VLOOKUP(T9,Anuiteti!$B$13:$E$32,3,FALSE))</f>
        <v/>
      </c>
      <c r="U24" s="3" t="str">
        <f>IF(U9&gt;UnosPodataka!$M$22,"",-VLOOKUP(U9,Anuiteti!$B$13:$E$32,3,FALSE))</f>
        <v/>
      </c>
      <c r="V24" s="3" t="str">
        <f>IF(V9&gt;UnosPodataka!$M$22,"",-VLOOKUP(V9,Anuiteti!$B$13:$E$32,3,FALSE))</f>
        <v/>
      </c>
      <c r="W24" s="3" t="str">
        <f>IF(W9&gt;UnosPodataka!$M$22,"",-VLOOKUP(W9,Anuiteti!$B$13:$E$32,3,FALSE))</f>
        <v/>
      </c>
      <c r="X24" s="3" t="str">
        <f>IF(X9&gt;UnosPodataka!$M$22,"",-VLOOKUP(X9,Anuiteti!$B$13:$E$32,3,FALSE))</f>
        <v/>
      </c>
      <c r="Y24" s="3" t="str">
        <f>IF(Y9&gt;UnosPodataka!$M$22,"",-VLOOKUP(Y9,Anuiteti!$B$13:$E$32,3,FALSE))</f>
        <v/>
      </c>
    </row>
    <row r="25" spans="1:25" x14ac:dyDescent="0.25">
      <c r="A25" s="22" t="s">
        <v>152</v>
      </c>
      <c r="B25" s="22"/>
      <c r="C25" s="22"/>
      <c r="D25" s="22"/>
      <c r="F25" s="3">
        <f>IF(F24="",0,IF(F9&gt;UnosPodataka!$M$22,"",VLOOKUP(F9,Anuiteti!$B$13:$E$32,4,FALSE)+VLOOKUP(F9,Anuiteti!$B$13:$E$32,3,FALSE)))</f>
        <v>-1621.3202389928038</v>
      </c>
      <c r="G25" s="3">
        <f>IF(G24="",0,IF(G9&gt;UnosPodataka!$M$22,"",VLOOKUP(G9,Anuiteti!$B$13:$E$32,4,FALSE)+VLOOKUP(G9,Anuiteti!$B$13:$E$32,3,FALSE)))</f>
        <v>-1815.8786676719403</v>
      </c>
      <c r="H25" s="3">
        <f>IF(H24="",0,IF(H9&gt;UnosPodataka!$M$22,"",VLOOKUP(H9,Anuiteti!$B$13:$E$32,4,FALSE)+VLOOKUP(H9,Anuiteti!$B$13:$E$32,3,FALSE)))</f>
        <v>-2033.7841077925732</v>
      </c>
      <c r="I25" s="3">
        <f>IF(I24="",0,IF(I9&gt;UnosPodataka!$M$22,"",VLOOKUP(I9,Anuiteti!$B$13:$E$32,4,FALSE)+VLOOKUP(I9,Anuiteti!$B$13:$E$32,3,FALSE)))</f>
        <v>-2277.8382007276819</v>
      </c>
      <c r="J25" s="3">
        <f>IF(J24="",0,IF(J9&gt;UnosPodataka!$M$22,"",VLOOKUP(J9,Anuiteti!$B$13:$E$32,4,FALSE)+VLOOKUP(J9,Anuiteti!$B$13:$E$32,3,FALSE)))</f>
        <v>-2551.1787848150038</v>
      </c>
      <c r="K25" s="3">
        <f>IF(K24="",0,IF(K9&gt;UnosPodataka!$M$22,"",VLOOKUP(K9,Anuiteti!$B$13:$E$32,4,FALSE)+VLOOKUP(K9,Anuiteti!$B$13:$E$32,3,FALSE)))</f>
        <v>0</v>
      </c>
      <c r="L25" s="3">
        <f>IF(L24="",0,IF(L9&gt;UnosPodataka!$M$22,"",VLOOKUP(L9,Anuiteti!$B$13:$E$32,4,FALSE)+VLOOKUP(L9,Anuiteti!$B$13:$E$32,3,FALSE)))</f>
        <v>0</v>
      </c>
      <c r="M25" s="3">
        <f>IF(M24="",0,IF(M9&gt;UnosPodataka!$M$22,"",VLOOKUP(M9,Anuiteti!$B$13:$E$32,4,FALSE)+VLOOKUP(M9,Anuiteti!$B$13:$E$32,3,FALSE)))</f>
        <v>0</v>
      </c>
      <c r="N25" s="3">
        <f>IF(N24="",0,IF(N9&gt;UnosPodataka!$M$22,"",VLOOKUP(N9,Anuiteti!$B$13:$E$32,4,FALSE)+VLOOKUP(N9,Anuiteti!$B$13:$E$32,3,FALSE)))</f>
        <v>0</v>
      </c>
      <c r="O25" s="3">
        <f>IF(O24="",0,IF(O9&gt;UnosPodataka!$M$22,"",VLOOKUP(O9,Anuiteti!$B$13:$E$32,4,FALSE)+VLOOKUP(O9,Anuiteti!$B$13:$E$32,3,FALSE)))</f>
        <v>0</v>
      </c>
      <c r="P25" s="3">
        <f>IF(P24="",0,IF(P9&gt;UnosPodataka!$M$22,"",VLOOKUP(P9,Anuiteti!$B$13:$E$32,4,FALSE)+VLOOKUP(P9,Anuiteti!$B$13:$E$32,3,FALSE)))</f>
        <v>0</v>
      </c>
      <c r="Q25" s="3">
        <f>IF(Q24="",0,IF(Q9&gt;UnosPodataka!$M$22,"",VLOOKUP(Q9,Anuiteti!$B$13:$E$32,4,FALSE)+VLOOKUP(Q9,Anuiteti!$B$13:$E$32,3,FALSE)))</f>
        <v>0</v>
      </c>
      <c r="R25" s="3">
        <f>IF(R24="",0,IF(R9&gt;UnosPodataka!$M$22,"",VLOOKUP(R9,Anuiteti!$B$13:$E$32,4,FALSE)+VLOOKUP(R9,Anuiteti!$B$13:$E$32,3,FALSE)))</f>
        <v>0</v>
      </c>
      <c r="S25" s="3">
        <f>IF(S24="",0,IF(S9&gt;UnosPodataka!$M$22,"",VLOOKUP(S9,Anuiteti!$B$13:$E$32,4,FALSE)+VLOOKUP(S9,Anuiteti!$B$13:$E$32,3,FALSE)))</f>
        <v>0</v>
      </c>
      <c r="T25" s="3">
        <f>IF(T24="",0,IF(T9&gt;UnosPodataka!$M$22,"",VLOOKUP(T9,Anuiteti!$B$13:$E$32,4,FALSE)+VLOOKUP(T9,Anuiteti!$B$13:$E$32,3,FALSE)))</f>
        <v>0</v>
      </c>
      <c r="U25" s="3">
        <f>IF(U24="",0,IF(U9&gt;UnosPodataka!$M$22,"",VLOOKUP(U9,Anuiteti!$B$13:$E$32,4,FALSE)+VLOOKUP(U9,Anuiteti!$B$13:$E$32,3,FALSE)))</f>
        <v>0</v>
      </c>
      <c r="V25" s="3">
        <f>IF(V24="",0,IF(V9&gt;UnosPodataka!$M$22,"",VLOOKUP(V9,Anuiteti!$B$13:$E$32,4,FALSE)+VLOOKUP(V9,Anuiteti!$B$13:$E$32,3,FALSE)))</f>
        <v>0</v>
      </c>
      <c r="W25" s="3">
        <f>IF(W24="",0,IF(W9&gt;UnosPodataka!$M$22,"",VLOOKUP(W9,Anuiteti!$B$13:$E$32,4,FALSE)+VLOOKUP(W9,Anuiteti!$B$13:$E$32,3,FALSE)))</f>
        <v>0</v>
      </c>
      <c r="X25" s="3">
        <f>IF(X24="",0,IF(X9&gt;UnosPodataka!$M$22,"",VLOOKUP(X9,Anuiteti!$B$13:$E$32,4,FALSE)+VLOOKUP(X9,Anuiteti!$B$13:$E$32,3,FALSE)))</f>
        <v>0</v>
      </c>
      <c r="Y25" s="3">
        <f>IF(Y24="",0,IF(Y9&gt;UnosPodataka!$M$22,"",VLOOKUP(Y9,Anuiteti!$B$13:$E$32,4,FALSE)+VLOOKUP(Y9,Anuiteti!$B$13:$E$32,3,FALSE)))</f>
        <v>0</v>
      </c>
    </row>
    <row r="26" spans="1:25" x14ac:dyDescent="0.25">
      <c r="A26" s="66" t="s">
        <v>94</v>
      </c>
      <c r="B26" s="66"/>
      <c r="C26" s="66"/>
      <c r="D26" s="66"/>
      <c r="F26" s="3">
        <f>IF(F9&lt;&gt;"",-UnosPodataka!$M$9,"")</f>
        <v>-100</v>
      </c>
      <c r="G26" s="3">
        <f>IF(G9&lt;&gt;"",-UnosPodataka!$M$9,"")</f>
        <v>-100</v>
      </c>
      <c r="H26" s="3">
        <f>IF(H9&lt;&gt;"",-UnosPodataka!$M$9,"")</f>
        <v>-100</v>
      </c>
      <c r="I26" s="3">
        <f>IF(I9&lt;&gt;"",-UnosPodataka!$M$9,"")</f>
        <v>-100</v>
      </c>
      <c r="J26" s="3">
        <f>IF(J9&lt;&gt;"",-UnosPodataka!$M$9,"")</f>
        <v>-100</v>
      </c>
      <c r="K26" s="3">
        <f>IF(K9&lt;&gt;"",-UnosPodataka!$M$9,"")</f>
        <v>-100</v>
      </c>
      <c r="L26" s="3">
        <f>IF(L9&lt;&gt;"",-UnosPodataka!$M$9,"")</f>
        <v>-100</v>
      </c>
      <c r="M26" s="3">
        <f>IF(M9&lt;&gt;"",-UnosPodataka!$M$9,"")</f>
        <v>-100</v>
      </c>
      <c r="N26" s="3">
        <f>IF(N9&lt;&gt;"",-UnosPodataka!$M$9,"")</f>
        <v>-100</v>
      </c>
      <c r="O26" s="3">
        <f>IF(O9&lt;&gt;"",-UnosPodataka!$M$9,"")</f>
        <v>-100</v>
      </c>
      <c r="P26" s="3">
        <f>IF(P9&lt;&gt;"",-UnosPodataka!$M$9,"")</f>
        <v>-100</v>
      </c>
      <c r="Q26" s="3">
        <f>IF(Q9&lt;&gt;"",-UnosPodataka!$M$9,"")</f>
        <v>-100</v>
      </c>
      <c r="R26" s="3">
        <f>IF(R9&lt;&gt;"",-UnosPodataka!$M$9,"")</f>
        <v>-100</v>
      </c>
      <c r="S26" s="3">
        <f>IF(S9&lt;&gt;"",-UnosPodataka!$M$9,"")</f>
        <v>-100</v>
      </c>
      <c r="T26" s="3">
        <f>IF(T9&lt;&gt;"",-UnosPodataka!$M$9,"")</f>
        <v>-100</v>
      </c>
      <c r="U26" s="3">
        <f>IF(U9&lt;&gt;"",-UnosPodataka!$M$9,"")</f>
        <v>-100</v>
      </c>
      <c r="V26" s="3">
        <f>IF(V9&lt;&gt;"",-UnosPodataka!$M$9,"")</f>
        <v>-100</v>
      </c>
      <c r="W26" s="3">
        <f>IF(W9&lt;&gt;"",-UnosPodataka!$M$9,"")</f>
        <v>-100</v>
      </c>
      <c r="X26" s="3">
        <f>IF(X9&lt;&gt;"",-UnosPodataka!$M$9,"")</f>
        <v>-100</v>
      </c>
      <c r="Y26" s="3">
        <f>IF(Y9&lt;&gt;"",-UnosPodataka!$M$9,"")</f>
        <v>-100</v>
      </c>
    </row>
    <row r="27" spans="1:25" x14ac:dyDescent="0.25">
      <c r="A27" s="66" t="s">
        <v>95</v>
      </c>
      <c r="B27" s="66"/>
      <c r="C27" s="66"/>
      <c r="D27" s="66"/>
      <c r="F27" s="3">
        <f>IF(F9&lt;&gt;"",-Investment*UnosPodataka!$M$11,"")</f>
        <v>-1239</v>
      </c>
      <c r="G27" s="3">
        <f>IF(G9&lt;&gt;"",-Investment*UnosPodataka!$M$11,"")</f>
        <v>-1239</v>
      </c>
      <c r="H27" s="3">
        <f>IF(H9&lt;&gt;"",-Investment*UnosPodataka!$M$11,"")</f>
        <v>-1239</v>
      </c>
      <c r="I27" s="3">
        <f>IF(I9&lt;&gt;"",-Investment*UnosPodataka!$M$11,"")</f>
        <v>-1239</v>
      </c>
      <c r="J27" s="3">
        <f>IF(J9&lt;&gt;"",-Investment*UnosPodataka!$M$11,"")</f>
        <v>-1239</v>
      </c>
      <c r="K27" s="3">
        <f>IF(K9&lt;&gt;"",-Investment*UnosPodataka!$M$11,"")</f>
        <v>-1239</v>
      </c>
      <c r="L27" s="3">
        <f>IF(L9&lt;&gt;"",-Investment*UnosPodataka!$M$11,"")</f>
        <v>-1239</v>
      </c>
      <c r="M27" s="3">
        <f>IF(M9&lt;&gt;"",-Investment*UnosPodataka!$M$11,"")</f>
        <v>-1239</v>
      </c>
      <c r="N27" s="3">
        <f>IF(N9&lt;&gt;"",-Investment*UnosPodataka!$M$11,"")</f>
        <v>-1239</v>
      </c>
      <c r="O27" s="3">
        <f>IF(O9&lt;&gt;"",-Investment*UnosPodataka!$M$11,"")</f>
        <v>-1239</v>
      </c>
      <c r="P27" s="3">
        <f>IF(P9&lt;&gt;"",-Investment*UnosPodataka!$M$11,"")</f>
        <v>-1239</v>
      </c>
      <c r="Q27" s="3">
        <f>IF(Q9&lt;&gt;"",-Investment*UnosPodataka!$M$11,"")</f>
        <v>-1239</v>
      </c>
      <c r="R27" s="3">
        <f>IF(R9&lt;&gt;"",-Investment*UnosPodataka!$M$11,"")</f>
        <v>-1239</v>
      </c>
      <c r="S27" s="3">
        <f>IF(S9&lt;&gt;"",-Investment*UnosPodataka!$M$11,"")</f>
        <v>-1239</v>
      </c>
      <c r="T27" s="3">
        <f>IF(T9&lt;&gt;"",-Investment*UnosPodataka!$M$11,"")</f>
        <v>-1239</v>
      </c>
      <c r="U27" s="3">
        <f>IF(U9&lt;&gt;"",-Investment*UnosPodataka!$M$11,"")</f>
        <v>-1239</v>
      </c>
      <c r="V27" s="3">
        <f>IF(V9&lt;&gt;"",-Investment*UnosPodataka!$M$11,"")</f>
        <v>-1239</v>
      </c>
      <c r="W27" s="3">
        <f>IF(W9&lt;&gt;"",-Investment*UnosPodataka!$M$11,"")</f>
        <v>-1239</v>
      </c>
      <c r="X27" s="3">
        <f>IF(X9&lt;&gt;"",-Investment*UnosPodataka!$M$11,"")</f>
        <v>-1239</v>
      </c>
      <c r="Y27" s="3">
        <f>IF(Y9&lt;&gt;"",-Investment*UnosPodataka!$M$11,"")</f>
        <v>-1239</v>
      </c>
    </row>
    <row r="28" spans="1:25" x14ac:dyDescent="0.25">
      <c r="A28" s="66" t="s">
        <v>96</v>
      </c>
      <c r="B28" s="66"/>
      <c r="C28" s="66"/>
      <c r="D28" s="66"/>
      <c r="F28" s="3">
        <f>IF(F9&lt;&gt;"",-EENERGIJA*EPrice/Kurs_EUR,"")</f>
        <v>-926.94904849600982</v>
      </c>
      <c r="G28" s="3">
        <f t="shared" ref="G28:Y28" si="5">IF(G9&lt;&gt;"",-EPOW*WHOUR*EPrice/Kurs_EUR,"")</f>
        <v>-926.94904849600982</v>
      </c>
      <c r="H28" s="3">
        <f t="shared" si="5"/>
        <v>-926.94904849600982</v>
      </c>
      <c r="I28" s="3">
        <f t="shared" si="5"/>
        <v>-926.94904849600982</v>
      </c>
      <c r="J28" s="3">
        <f t="shared" si="5"/>
        <v>-926.94904849600982</v>
      </c>
      <c r="K28" s="3">
        <f t="shared" si="5"/>
        <v>-926.94904849600982</v>
      </c>
      <c r="L28" s="3">
        <f t="shared" si="5"/>
        <v>-926.94904849600982</v>
      </c>
      <c r="M28" s="3">
        <f t="shared" si="5"/>
        <v>-926.94904849600982</v>
      </c>
      <c r="N28" s="3">
        <f t="shared" si="5"/>
        <v>-926.94904849600982</v>
      </c>
      <c r="O28" s="3">
        <f t="shared" si="5"/>
        <v>-926.94904849600982</v>
      </c>
      <c r="P28" s="3">
        <f t="shared" si="5"/>
        <v>-926.94904849600982</v>
      </c>
      <c r="Q28" s="3">
        <f t="shared" si="5"/>
        <v>-926.94904849600982</v>
      </c>
      <c r="R28" s="3">
        <f t="shared" si="5"/>
        <v>-926.94904849600982</v>
      </c>
      <c r="S28" s="3">
        <f t="shared" si="5"/>
        <v>-926.94904849600982</v>
      </c>
      <c r="T28" s="3">
        <f t="shared" si="5"/>
        <v>-926.94904849600982</v>
      </c>
      <c r="U28" s="3">
        <f t="shared" si="5"/>
        <v>-926.94904849600982</v>
      </c>
      <c r="V28" s="3">
        <f t="shared" si="5"/>
        <v>-926.94904849600982</v>
      </c>
      <c r="W28" s="3">
        <f t="shared" si="5"/>
        <v>-926.94904849600982</v>
      </c>
      <c r="X28" s="3">
        <f t="shared" si="5"/>
        <v>-926.94904849600982</v>
      </c>
      <c r="Y28" s="3">
        <f t="shared" si="5"/>
        <v>-926.94904849600982</v>
      </c>
    </row>
    <row r="29" spans="1:25" x14ac:dyDescent="0.25">
      <c r="A29" s="66" t="s">
        <v>153</v>
      </c>
      <c r="B29" s="66"/>
      <c r="C29" s="66"/>
      <c r="D29" s="66"/>
      <c r="F29" s="3">
        <f>IF(F9&lt;&gt;"",-Investment*UnosPodataka!$M$12,"")</f>
        <v>-4130</v>
      </c>
      <c r="G29" s="3">
        <f>IF(G9&lt;&gt;"",-Investment*UnosPodataka!$M$12,"")</f>
        <v>-4130</v>
      </c>
      <c r="H29" s="3">
        <f>IF(H9&lt;&gt;"",-Investment*UnosPodataka!$M$12,"")</f>
        <v>-4130</v>
      </c>
      <c r="I29" s="3">
        <f>IF(I9&lt;&gt;"",-Investment*UnosPodataka!$M$12,"")</f>
        <v>-4130</v>
      </c>
      <c r="J29" s="3">
        <f>IF(J9&lt;&gt;"",-Investment*UnosPodataka!$M$12,"")</f>
        <v>-4130</v>
      </c>
      <c r="K29" s="3">
        <f>IF(K9&lt;&gt;"",-Investment*UnosPodataka!$M$12,"")</f>
        <v>-4130</v>
      </c>
      <c r="L29" s="3">
        <f>IF(L9&lt;&gt;"",-Investment*UnosPodataka!$M$12,"")</f>
        <v>-4130</v>
      </c>
      <c r="M29" s="3">
        <f>IF(M9&lt;&gt;"",-Investment*UnosPodataka!$M$12,"")</f>
        <v>-4130</v>
      </c>
      <c r="N29" s="3">
        <f>IF(N9&lt;&gt;"",-Investment*UnosPodataka!$M$12,"")</f>
        <v>-4130</v>
      </c>
      <c r="O29" s="3">
        <f>IF(O9&lt;&gt;"",-Investment*UnosPodataka!$M$12,"")</f>
        <v>-4130</v>
      </c>
      <c r="P29" s="3">
        <f>IF(P9&lt;&gt;"",-Investment*UnosPodataka!$M$12,"")</f>
        <v>-4130</v>
      </c>
      <c r="Q29" s="3">
        <f>IF(Q9&lt;&gt;"",-Investment*UnosPodataka!$M$12,"")</f>
        <v>-4130</v>
      </c>
      <c r="R29" s="3">
        <f>IF(R9&lt;&gt;"",-Investment*UnosPodataka!$M$12,"")</f>
        <v>-4130</v>
      </c>
      <c r="S29" s="3">
        <f>IF(S9&lt;&gt;"",-Investment*UnosPodataka!$M$12,"")</f>
        <v>-4130</v>
      </c>
      <c r="T29" s="3">
        <f>IF(T9&lt;&gt;"",-Investment*UnosPodataka!$M$12,"")</f>
        <v>-4130</v>
      </c>
      <c r="U29" s="3">
        <f>IF(U9&lt;&gt;"",-Investment*UnosPodataka!$M$12,"")</f>
        <v>-4130</v>
      </c>
      <c r="V29" s="3">
        <f>IF(V9&lt;&gt;"",-Investment*UnosPodataka!$M$12,"")</f>
        <v>-4130</v>
      </c>
      <c r="W29" s="3">
        <f>IF(W9&lt;&gt;"",-Investment*UnosPodataka!$M$12,"")</f>
        <v>-4130</v>
      </c>
      <c r="X29" s="3">
        <f>IF(X9&lt;&gt;"",-Investment*UnosPodataka!$M$12,"")</f>
        <v>-4130</v>
      </c>
      <c r="Y29" s="3">
        <f>IF(Y9&lt;&gt;"",-Investment*UnosPodataka!$M$12,"")</f>
        <v>-4130</v>
      </c>
    </row>
    <row r="30" spans="1:25" x14ac:dyDescent="0.25">
      <c r="A30" s="66" t="s">
        <v>105</v>
      </c>
      <c r="B30" s="66"/>
      <c r="C30" s="66"/>
      <c r="D30" s="66"/>
      <c r="F30" s="3">
        <f>IF(F9&lt;&gt;"",-(1-UnosPodataka!$M$10)*'FinInd+CO2'!F19,"")</f>
        <v>0</v>
      </c>
      <c r="G30" s="3">
        <f>IF(G9&lt;&gt;"",-(1-UnosPodataka!$M$10)*'FinInd+CO2'!G19,"")</f>
        <v>0</v>
      </c>
      <c r="H30" s="3">
        <f>IF(H9&lt;&gt;"",-(1-UnosPodataka!$M$10)*'FinInd+CO2'!H19,"")</f>
        <v>0</v>
      </c>
      <c r="I30" s="3">
        <f>IF(I9&lt;&gt;"",-(1-UnosPodataka!$M$10)*'FinInd+CO2'!I19,"")</f>
        <v>0</v>
      </c>
      <c r="J30" s="3">
        <f>IF(J9&lt;&gt;"",-(1-UnosPodataka!$M$10)*'FinInd+CO2'!J19,"")</f>
        <v>0</v>
      </c>
      <c r="K30" s="3">
        <f>IF(K9&lt;&gt;"",-(1-UnosPodataka!$M$10)*'FinInd+CO2'!K19,"")</f>
        <v>0</v>
      </c>
      <c r="L30" s="3">
        <f>IF(L9&lt;&gt;"",-(1-UnosPodataka!$M$10)*'FinInd+CO2'!L19,"")</f>
        <v>0</v>
      </c>
      <c r="M30" s="3">
        <f>IF(M9&lt;&gt;"",-(1-UnosPodataka!$M$10)*'FinInd+CO2'!M19,"")</f>
        <v>0</v>
      </c>
      <c r="N30" s="3">
        <f>IF(N9&lt;&gt;"",-(1-UnosPodataka!$M$10)*'FinInd+CO2'!N19,"")</f>
        <v>0</v>
      </c>
      <c r="O30" s="3">
        <f>IF(O9&lt;&gt;"",-(1-UnosPodataka!$M$10)*'FinInd+CO2'!O19,"")</f>
        <v>0</v>
      </c>
      <c r="P30" s="3">
        <f>IF(P9&lt;&gt;"",-(1-UnosPodataka!$M$10)*'FinInd+CO2'!P19,"")</f>
        <v>0</v>
      </c>
      <c r="Q30" s="3">
        <f>IF(Q9&lt;&gt;"",-(1-UnosPodataka!$M$10)*'FinInd+CO2'!Q19,"")</f>
        <v>0</v>
      </c>
      <c r="R30" s="3">
        <f>IF(R9&lt;&gt;"",-(1-UnosPodataka!$M$10)*'FinInd+CO2'!R19,"")</f>
        <v>0</v>
      </c>
      <c r="S30" s="3">
        <f>IF(S9&lt;&gt;"",-(1-UnosPodataka!$M$10)*'FinInd+CO2'!S19,"")</f>
        <v>0</v>
      </c>
      <c r="T30" s="3">
        <f>IF(T9&lt;&gt;"",-(1-UnosPodataka!$M$10)*'FinInd+CO2'!T19,"")</f>
        <v>0</v>
      </c>
      <c r="U30" s="3">
        <f>IF(U9&lt;&gt;"",-(1-UnosPodataka!$M$10)*'FinInd+CO2'!U19,"")</f>
        <v>0</v>
      </c>
      <c r="V30" s="3">
        <f>IF(V9&lt;&gt;"",-(1-UnosPodataka!$M$10)*'FinInd+CO2'!V19,"")</f>
        <v>0</v>
      </c>
      <c r="W30" s="3">
        <f>IF(W9&lt;&gt;"",-(1-UnosPodataka!$M$10)*'FinInd+CO2'!W19,"")</f>
        <v>0</v>
      </c>
      <c r="X30" s="3">
        <f>IF(X9&lt;&gt;"",-(1-UnosPodataka!$M$10)*'FinInd+CO2'!X19,"")</f>
        <v>0</v>
      </c>
      <c r="Y30" s="3">
        <f>IF(Y9&lt;&gt;"",-(1-UnosPodataka!$M$10)*'FinInd+CO2'!Y19,"")</f>
        <v>0</v>
      </c>
    </row>
    <row r="31" spans="1:25" x14ac:dyDescent="0.25">
      <c r="A31" s="72" t="s">
        <v>97</v>
      </c>
      <c r="B31" s="72"/>
      <c r="C31" s="72"/>
      <c r="D31" s="72"/>
      <c r="E31" s="30"/>
      <c r="F31" s="31">
        <f t="shared" ref="F31:Y31" si="6">IF(F9&lt;&gt;"",SUM(F24:F30),"")</f>
        <v>-9253.2692874888126</v>
      </c>
      <c r="G31" s="31">
        <f t="shared" si="6"/>
        <v>-9253.2692874888126</v>
      </c>
      <c r="H31" s="31">
        <f t="shared" si="6"/>
        <v>-9253.2692874888126</v>
      </c>
      <c r="I31" s="31">
        <f t="shared" si="6"/>
        <v>-9253.2692874888126</v>
      </c>
      <c r="J31" s="31">
        <f t="shared" si="6"/>
        <v>-9253.2692874888126</v>
      </c>
      <c r="K31" s="31">
        <f t="shared" si="6"/>
        <v>-6395.9490484960097</v>
      </c>
      <c r="L31" s="31">
        <f t="shared" si="6"/>
        <v>-6395.9490484960097</v>
      </c>
      <c r="M31" s="31">
        <f t="shared" si="6"/>
        <v>-6395.9490484960097</v>
      </c>
      <c r="N31" s="31">
        <f t="shared" si="6"/>
        <v>-6395.9490484960097</v>
      </c>
      <c r="O31" s="31">
        <f t="shared" si="6"/>
        <v>-6395.9490484960097</v>
      </c>
      <c r="P31" s="31">
        <f t="shared" si="6"/>
        <v>-6395.9490484960097</v>
      </c>
      <c r="Q31" s="31">
        <f t="shared" si="6"/>
        <v>-6395.9490484960097</v>
      </c>
      <c r="R31" s="31">
        <f t="shared" si="6"/>
        <v>-6395.9490484960097</v>
      </c>
      <c r="S31" s="31">
        <f t="shared" si="6"/>
        <v>-6395.9490484960097</v>
      </c>
      <c r="T31" s="31">
        <f t="shared" si="6"/>
        <v>-6395.9490484960097</v>
      </c>
      <c r="U31" s="31">
        <f t="shared" si="6"/>
        <v>-6395.9490484960097</v>
      </c>
      <c r="V31" s="31">
        <f t="shared" si="6"/>
        <v>-6395.9490484960097</v>
      </c>
      <c r="W31" s="31">
        <f t="shared" si="6"/>
        <v>-6395.9490484960097</v>
      </c>
      <c r="X31" s="31">
        <f t="shared" si="6"/>
        <v>-6395.9490484960097</v>
      </c>
      <c r="Y31" s="31">
        <f t="shared" si="6"/>
        <v>-6395.9490484960097</v>
      </c>
    </row>
    <row r="33" spans="1:25" x14ac:dyDescent="0.25">
      <c r="A33" t="s">
        <v>154</v>
      </c>
      <c r="E33" s="3">
        <f>-SUM(E11:E13)</f>
        <v>-41300</v>
      </c>
      <c r="F33" s="3">
        <f>+F31-F29-F36</f>
        <v>-5123.2692874888126</v>
      </c>
      <c r="G33" s="3">
        <f t="shared" ref="G33:Y33" si="7">+G31-G29-G36</f>
        <v>-5123.2692874888126</v>
      </c>
      <c r="H33" s="3">
        <f t="shared" si="7"/>
        <v>-5123.2692874888126</v>
      </c>
      <c r="I33" s="3">
        <f t="shared" si="7"/>
        <v>-5123.2692874888126</v>
      </c>
      <c r="J33" s="3">
        <f t="shared" si="7"/>
        <v>-5123.2692874888126</v>
      </c>
      <c r="K33" s="3">
        <f t="shared" si="7"/>
        <v>-2265.9490484960097</v>
      </c>
      <c r="L33" s="3">
        <f t="shared" si="7"/>
        <v>-2265.9490484960097</v>
      </c>
      <c r="M33" s="3">
        <f t="shared" si="7"/>
        <v>-2265.9490484960097</v>
      </c>
      <c r="N33" s="3">
        <f t="shared" si="7"/>
        <v>-2265.9490484960097</v>
      </c>
      <c r="O33" s="3">
        <f t="shared" si="7"/>
        <v>-2265.9490484960097</v>
      </c>
      <c r="P33" s="3">
        <f t="shared" si="7"/>
        <v>-2265.9490484960097</v>
      </c>
      <c r="Q33" s="3">
        <f t="shared" si="7"/>
        <v>-2265.9490484960097</v>
      </c>
      <c r="R33" s="3">
        <f t="shared" si="7"/>
        <v>-2265.9490484960097</v>
      </c>
      <c r="S33" s="3">
        <f t="shared" si="7"/>
        <v>-2265.9490484960097</v>
      </c>
      <c r="T33" s="3">
        <f t="shared" si="7"/>
        <v>-2265.9490484960097</v>
      </c>
      <c r="U33" s="3">
        <f t="shared" si="7"/>
        <v>-2265.9490484960097</v>
      </c>
      <c r="V33" s="3">
        <f t="shared" si="7"/>
        <v>-2265.9490484960097</v>
      </c>
      <c r="W33" s="3">
        <f t="shared" si="7"/>
        <v>-2265.9490484960097</v>
      </c>
      <c r="X33" s="3">
        <f t="shared" si="7"/>
        <v>-2265.9490484960097</v>
      </c>
      <c r="Y33" s="3">
        <f t="shared" si="7"/>
        <v>-2265.9490484960097</v>
      </c>
    </row>
    <row r="34" spans="1:25" x14ac:dyDescent="0.25">
      <c r="A34" s="59" t="s">
        <v>155</v>
      </c>
      <c r="B34" s="59"/>
      <c r="C34" s="59"/>
      <c r="D34" s="59"/>
      <c r="F34" s="3">
        <f>IF(F9&lt;&gt;"",F21+F31-F25,"")</f>
        <v>-904.15484956612727</v>
      </c>
      <c r="G34" s="3">
        <f t="shared" ref="G34:Y34" si="8">IF(G9&lt;&gt;"",G21+G31-G25,"")</f>
        <v>-709.5964208869907</v>
      </c>
      <c r="H34" s="3">
        <f t="shared" si="8"/>
        <v>-491.69098076635782</v>
      </c>
      <c r="I34" s="3">
        <f t="shared" si="8"/>
        <v>-247.63688783124917</v>
      </c>
      <c r="J34" s="3">
        <f t="shared" si="8"/>
        <v>25.703696256072817</v>
      </c>
      <c r="K34" s="3">
        <f t="shared" si="8"/>
        <v>331.84515043387182</v>
      </c>
      <c r="L34" s="3">
        <f t="shared" si="8"/>
        <v>331.84515043387182</v>
      </c>
      <c r="M34" s="3">
        <f t="shared" si="8"/>
        <v>331.84515043387182</v>
      </c>
      <c r="N34" s="3">
        <f t="shared" si="8"/>
        <v>331.84515043387182</v>
      </c>
      <c r="O34" s="3">
        <f t="shared" si="8"/>
        <v>331.84515043387182</v>
      </c>
      <c r="P34" s="3">
        <f t="shared" si="8"/>
        <v>331.84515043387182</v>
      </c>
      <c r="Q34" s="3">
        <f t="shared" si="8"/>
        <v>331.84515043387182</v>
      </c>
      <c r="R34" s="3">
        <f t="shared" si="8"/>
        <v>331.84515043387182</v>
      </c>
      <c r="S34" s="3">
        <f t="shared" si="8"/>
        <v>331.84515043387182</v>
      </c>
      <c r="T34" s="3">
        <f t="shared" si="8"/>
        <v>331.84515043387182</v>
      </c>
      <c r="U34" s="3">
        <f t="shared" si="8"/>
        <v>331.84515043387182</v>
      </c>
      <c r="V34" s="3">
        <f t="shared" si="8"/>
        <v>331.84515043387182</v>
      </c>
      <c r="W34" s="3">
        <f t="shared" si="8"/>
        <v>331.84515043387182</v>
      </c>
      <c r="X34" s="3">
        <f t="shared" si="8"/>
        <v>331.84515043387182</v>
      </c>
      <c r="Y34" s="3">
        <f t="shared" si="8"/>
        <v>331.84515043387182</v>
      </c>
    </row>
    <row r="35" spans="1:25" x14ac:dyDescent="0.25">
      <c r="A35" s="73"/>
      <c r="B35" s="73"/>
      <c r="C35" s="73"/>
      <c r="D35" s="73"/>
    </row>
    <row r="36" spans="1:25" x14ac:dyDescent="0.25">
      <c r="A36" s="66" t="s">
        <v>98</v>
      </c>
      <c r="B36" s="66"/>
      <c r="C36" s="66"/>
      <c r="D36" s="66"/>
      <c r="F36" s="3">
        <f>IF(F9&lt;&gt;"",IF(F35&gt;0,F35*VAT,0),"")</f>
        <v>0</v>
      </c>
      <c r="G36" s="3">
        <f t="shared" ref="G36:Y36" si="9">IF(G9&lt;&gt;"",IF(G35&gt;0,G35*VAT,0),"")</f>
        <v>0</v>
      </c>
      <c r="H36" s="3">
        <f t="shared" si="9"/>
        <v>0</v>
      </c>
      <c r="I36" s="3">
        <f t="shared" si="9"/>
        <v>0</v>
      </c>
      <c r="J36" s="3">
        <f t="shared" si="9"/>
        <v>0</v>
      </c>
      <c r="K36" s="3">
        <f t="shared" si="9"/>
        <v>0</v>
      </c>
      <c r="L36" s="3">
        <f t="shared" si="9"/>
        <v>0</v>
      </c>
      <c r="M36" s="3">
        <f t="shared" si="9"/>
        <v>0</v>
      </c>
      <c r="N36" s="3">
        <f t="shared" si="9"/>
        <v>0</v>
      </c>
      <c r="O36" s="3">
        <f t="shared" si="9"/>
        <v>0</v>
      </c>
      <c r="P36" s="3">
        <f t="shared" si="9"/>
        <v>0</v>
      </c>
      <c r="Q36" s="3">
        <f t="shared" si="9"/>
        <v>0</v>
      </c>
      <c r="R36" s="3">
        <f t="shared" si="9"/>
        <v>0</v>
      </c>
      <c r="S36" s="3">
        <f t="shared" si="9"/>
        <v>0</v>
      </c>
      <c r="T36" s="3">
        <f t="shared" si="9"/>
        <v>0</v>
      </c>
      <c r="U36" s="3">
        <f t="shared" si="9"/>
        <v>0</v>
      </c>
      <c r="V36" s="3">
        <f t="shared" si="9"/>
        <v>0</v>
      </c>
      <c r="W36" s="3">
        <f t="shared" si="9"/>
        <v>0</v>
      </c>
      <c r="X36" s="3">
        <f t="shared" si="9"/>
        <v>0</v>
      </c>
      <c r="Y36" s="3">
        <f t="shared" si="9"/>
        <v>0</v>
      </c>
    </row>
    <row r="37" spans="1:25" x14ac:dyDescent="0.25">
      <c r="A37" s="59" t="s">
        <v>99</v>
      </c>
      <c r="B37" s="59"/>
      <c r="C37" s="59"/>
      <c r="D37" s="59"/>
      <c r="E37" s="31"/>
      <c r="F37" s="31">
        <f>IF(F9&lt;&gt;"",F34-F36,"")</f>
        <v>-904.15484956612727</v>
      </c>
      <c r="G37" s="31">
        <f t="shared" ref="G37:Y37" si="10">IF(G9&lt;&gt;"",G34-G36,"")</f>
        <v>-709.5964208869907</v>
      </c>
      <c r="H37" s="31">
        <f t="shared" si="10"/>
        <v>-491.69098076635782</v>
      </c>
      <c r="I37" s="31">
        <f t="shared" si="10"/>
        <v>-247.63688783124917</v>
      </c>
      <c r="J37" s="31">
        <f t="shared" si="10"/>
        <v>25.703696256072817</v>
      </c>
      <c r="K37" s="31">
        <f t="shared" si="10"/>
        <v>331.84515043387182</v>
      </c>
      <c r="L37" s="31">
        <f t="shared" si="10"/>
        <v>331.84515043387182</v>
      </c>
      <c r="M37" s="31">
        <f t="shared" si="10"/>
        <v>331.84515043387182</v>
      </c>
      <c r="N37" s="31">
        <f t="shared" si="10"/>
        <v>331.84515043387182</v>
      </c>
      <c r="O37" s="31">
        <f t="shared" si="10"/>
        <v>331.84515043387182</v>
      </c>
      <c r="P37" s="31">
        <f t="shared" si="10"/>
        <v>331.84515043387182</v>
      </c>
      <c r="Q37" s="31">
        <f t="shared" si="10"/>
        <v>331.84515043387182</v>
      </c>
      <c r="R37" s="31">
        <f t="shared" si="10"/>
        <v>331.84515043387182</v>
      </c>
      <c r="S37" s="31">
        <f t="shared" si="10"/>
        <v>331.84515043387182</v>
      </c>
      <c r="T37" s="31">
        <f t="shared" si="10"/>
        <v>331.84515043387182</v>
      </c>
      <c r="U37" s="31">
        <f t="shared" si="10"/>
        <v>331.84515043387182</v>
      </c>
      <c r="V37" s="31">
        <f t="shared" si="10"/>
        <v>331.84515043387182</v>
      </c>
      <c r="W37" s="31">
        <f t="shared" si="10"/>
        <v>331.84515043387182</v>
      </c>
      <c r="X37" s="31">
        <f t="shared" si="10"/>
        <v>331.84515043387182</v>
      </c>
      <c r="Y37" s="31">
        <f t="shared" si="10"/>
        <v>331.84515043387182</v>
      </c>
    </row>
    <row r="39" spans="1:25" x14ac:dyDescent="0.25">
      <c r="A39" s="32" t="s">
        <v>164</v>
      </c>
      <c r="E39" s="3">
        <f>-SUM(E11:E13)</f>
        <v>-41300</v>
      </c>
      <c r="F39" s="3">
        <f>+F37+F25-F29</f>
        <v>1604.524911441069</v>
      </c>
      <c r="G39" s="3">
        <f t="shared" ref="G39:Y39" si="11">+G37+G25-G29</f>
        <v>1604.524911441069</v>
      </c>
      <c r="H39" s="3">
        <f t="shared" si="11"/>
        <v>1604.524911441069</v>
      </c>
      <c r="I39" s="3">
        <f t="shared" si="11"/>
        <v>1604.524911441069</v>
      </c>
      <c r="J39" s="3">
        <f t="shared" si="11"/>
        <v>1604.524911441069</v>
      </c>
      <c r="K39" s="3">
        <f t="shared" si="11"/>
        <v>4461.8451504338718</v>
      </c>
      <c r="L39" s="3">
        <f t="shared" si="11"/>
        <v>4461.8451504338718</v>
      </c>
      <c r="M39" s="3">
        <f t="shared" si="11"/>
        <v>4461.8451504338718</v>
      </c>
      <c r="N39" s="3">
        <f t="shared" si="11"/>
        <v>4461.8451504338718</v>
      </c>
      <c r="O39" s="3">
        <f t="shared" si="11"/>
        <v>4461.8451504338718</v>
      </c>
      <c r="P39" s="3">
        <f t="shared" si="11"/>
        <v>4461.8451504338718</v>
      </c>
      <c r="Q39" s="3">
        <f t="shared" si="11"/>
        <v>4461.8451504338718</v>
      </c>
      <c r="R39" s="3">
        <f t="shared" si="11"/>
        <v>4461.8451504338718</v>
      </c>
      <c r="S39" s="3">
        <f t="shared" si="11"/>
        <v>4461.8451504338718</v>
      </c>
      <c r="T39" s="3">
        <f t="shared" si="11"/>
        <v>4461.8451504338718</v>
      </c>
      <c r="U39" s="3">
        <f t="shared" si="11"/>
        <v>4461.8451504338718</v>
      </c>
      <c r="V39" s="3">
        <f t="shared" si="11"/>
        <v>4461.8451504338718</v>
      </c>
      <c r="W39" s="3">
        <f t="shared" si="11"/>
        <v>4461.8451504338718</v>
      </c>
      <c r="X39" s="3">
        <f t="shared" si="11"/>
        <v>4461.8451504338718</v>
      </c>
      <c r="Y39" s="3">
        <f t="shared" si="11"/>
        <v>4461.8451504338718</v>
      </c>
    </row>
    <row r="40" spans="1:25" x14ac:dyDescent="0.25">
      <c r="A40" s="32" t="s">
        <v>165</v>
      </c>
      <c r="E40" s="3">
        <f>+E39</f>
        <v>-41300</v>
      </c>
      <c r="F40" s="3">
        <f>+E40+F39</f>
        <v>-39695.475088558931</v>
      </c>
      <c r="G40" s="3">
        <f t="shared" ref="G40:Y40" si="12">+F40+G39</f>
        <v>-38090.950177117862</v>
      </c>
      <c r="H40" s="3">
        <f t="shared" si="12"/>
        <v>-36486.425265676793</v>
      </c>
      <c r="I40" s="3">
        <f t="shared" si="12"/>
        <v>-34881.900354235724</v>
      </c>
      <c r="J40" s="3">
        <f t="shared" si="12"/>
        <v>-33277.375442794655</v>
      </c>
      <c r="K40" s="3">
        <f t="shared" si="12"/>
        <v>-28815.530292360781</v>
      </c>
      <c r="L40" s="3">
        <f t="shared" si="12"/>
        <v>-24353.685141926908</v>
      </c>
      <c r="M40" s="3">
        <f t="shared" si="12"/>
        <v>-19891.839991493034</v>
      </c>
      <c r="N40" s="3">
        <f t="shared" si="12"/>
        <v>-15429.994841059162</v>
      </c>
      <c r="O40" s="3">
        <f t="shared" si="12"/>
        <v>-10968.149690625291</v>
      </c>
      <c r="P40" s="3">
        <f t="shared" si="12"/>
        <v>-6506.3045401914187</v>
      </c>
      <c r="Q40" s="3">
        <f t="shared" si="12"/>
        <v>-2044.4593897575469</v>
      </c>
      <c r="R40" s="3">
        <f t="shared" si="12"/>
        <v>2417.3857606763249</v>
      </c>
      <c r="S40" s="3">
        <f t="shared" si="12"/>
        <v>6879.2309111101968</v>
      </c>
      <c r="T40" s="3">
        <f t="shared" si="12"/>
        <v>11341.076061544069</v>
      </c>
      <c r="U40" s="3">
        <f t="shared" si="12"/>
        <v>15802.92121197794</v>
      </c>
      <c r="V40" s="3">
        <f t="shared" si="12"/>
        <v>20264.766362411814</v>
      </c>
      <c r="W40" s="3">
        <f t="shared" si="12"/>
        <v>24726.611512845688</v>
      </c>
      <c r="X40" s="3">
        <f t="shared" si="12"/>
        <v>29188.456663279561</v>
      </c>
      <c r="Y40" s="3">
        <f t="shared" si="12"/>
        <v>33650.301813713435</v>
      </c>
    </row>
    <row r="41" spans="1:25" x14ac:dyDescent="0.25">
      <c r="A41" s="18"/>
    </row>
    <row r="42" spans="1:25" x14ac:dyDescent="0.25">
      <c r="A42" s="32" t="s">
        <v>62</v>
      </c>
      <c r="E42" s="7">
        <f>+PomTab1!L25</f>
        <v>3.6985472154963679E-2</v>
      </c>
    </row>
    <row r="43" spans="1:25" x14ac:dyDescent="0.25">
      <c r="A43" s="32" t="s">
        <v>166</v>
      </c>
      <c r="E43" s="3">
        <f>IF(E9&lt;&gt;"",E40*(1+$E$42)^-E9,"")</f>
        <v>-41300</v>
      </c>
      <c r="F43" s="3">
        <f>IF(F9&lt;&gt;"",F39*(1+$E$42)^-F9,"")</f>
        <v>1547.2973870180645</v>
      </c>
      <c r="G43" s="3">
        <f t="shared" ref="G43:Y43" si="13">IF(G9&lt;&gt;"",G39*(1+$E$42)^-G9,"")</f>
        <v>1492.1109587028441</v>
      </c>
      <c r="H43" s="3">
        <f t="shared" si="13"/>
        <v>1438.8928280760601</v>
      </c>
      <c r="I43" s="3">
        <f t="shared" si="13"/>
        <v>1387.5727931712402</v>
      </c>
      <c r="J43" s="3">
        <f t="shared" si="13"/>
        <v>1338.083155868828</v>
      </c>
      <c r="K43" s="3">
        <f t="shared" si="13"/>
        <v>3588.2150324392951</v>
      </c>
      <c r="L43" s="3">
        <f t="shared" si="13"/>
        <v>3460.2365498743302</v>
      </c>
      <c r="M43" s="3">
        <f t="shared" si="13"/>
        <v>3336.8225908542377</v>
      </c>
      <c r="N43" s="3">
        <f t="shared" si="13"/>
        <v>3217.8103555491216</v>
      </c>
      <c r="O43" s="3">
        <f t="shared" si="13"/>
        <v>3103.0428506025041</v>
      </c>
      <c r="P43" s="3">
        <f t="shared" si="13"/>
        <v>2992.3686820356879</v>
      </c>
      <c r="Q43" s="3">
        <f t="shared" si="13"/>
        <v>2885.6418555384721</v>
      </c>
      <c r="R43" s="3">
        <f t="shared" si="13"/>
        <v>2782.7215838827601</v>
      </c>
      <c r="S43" s="3">
        <f t="shared" si="13"/>
        <v>2683.47210120502</v>
      </c>
      <c r="T43" s="3">
        <f t="shared" si="13"/>
        <v>2587.7624839126102</v>
      </c>
      <c r="U43" s="3">
        <f t="shared" si="13"/>
        <v>2495.4664779777204</v>
      </c>
      <c r="V43" s="3">
        <f t="shared" si="13"/>
        <v>2406.4623323911005</v>
      </c>
      <c r="W43" s="3">
        <f t="shared" si="13"/>
        <v>2320.6326385558918</v>
      </c>
      <c r="X43" s="3">
        <f t="shared" si="13"/>
        <v>2237.8641754096861</v>
      </c>
      <c r="Y43" s="3">
        <f t="shared" si="13"/>
        <v>2158.0477600705162</v>
      </c>
    </row>
    <row r="44" spans="1:25" x14ac:dyDescent="0.25">
      <c r="A44" s="32" t="s">
        <v>167</v>
      </c>
      <c r="E44" s="3">
        <f>+E43</f>
        <v>-41300</v>
      </c>
      <c r="F44" s="3">
        <f>+E44+F43</f>
        <v>-39752.702612981935</v>
      </c>
      <c r="G44" s="3">
        <f t="shared" ref="G44:Y44" si="14">+F44+G43</f>
        <v>-38260.591654279095</v>
      </c>
      <c r="H44" s="3">
        <f t="shared" si="14"/>
        <v>-36821.698826203035</v>
      </c>
      <c r="I44" s="3">
        <f t="shared" si="14"/>
        <v>-35434.126033031796</v>
      </c>
      <c r="J44" s="3">
        <f t="shared" si="14"/>
        <v>-34096.042877162967</v>
      </c>
      <c r="K44" s="3">
        <f t="shared" si="14"/>
        <v>-30507.827844723673</v>
      </c>
      <c r="L44" s="3">
        <f t="shared" si="14"/>
        <v>-27047.591294849342</v>
      </c>
      <c r="M44" s="3">
        <f t="shared" si="14"/>
        <v>-23710.768703995105</v>
      </c>
      <c r="N44" s="3">
        <f t="shared" si="14"/>
        <v>-20492.958348445984</v>
      </c>
      <c r="O44" s="3">
        <f t="shared" si="14"/>
        <v>-17389.915497843478</v>
      </c>
      <c r="P44" s="3">
        <f t="shared" si="14"/>
        <v>-14397.546815807789</v>
      </c>
      <c r="Q44" s="3">
        <f t="shared" si="14"/>
        <v>-11511.904960269318</v>
      </c>
      <c r="R44" s="3">
        <f t="shared" si="14"/>
        <v>-8729.1833763865579</v>
      </c>
      <c r="S44" s="3">
        <f t="shared" si="14"/>
        <v>-6045.7112751815384</v>
      </c>
      <c r="T44" s="3">
        <f t="shared" si="14"/>
        <v>-3457.9487912689283</v>
      </c>
      <c r="U44" s="3">
        <f t="shared" si="14"/>
        <v>-962.4823132912079</v>
      </c>
      <c r="V44" s="3">
        <f t="shared" si="14"/>
        <v>1443.9800190998926</v>
      </c>
      <c r="W44" s="3">
        <f t="shared" si="14"/>
        <v>3764.6126576557845</v>
      </c>
      <c r="X44" s="3">
        <f t="shared" si="14"/>
        <v>6002.4768330654706</v>
      </c>
      <c r="Y44" s="3">
        <f t="shared" si="14"/>
        <v>8160.5245931359868</v>
      </c>
    </row>
    <row r="45" spans="1:25" x14ac:dyDescent="0.25">
      <c r="A45" s="32"/>
    </row>
    <row r="46" spans="1:25" x14ac:dyDescent="0.25">
      <c r="A46" s="33" t="s">
        <v>168</v>
      </c>
      <c r="B46" s="37"/>
      <c r="C46" s="37"/>
      <c r="D46" s="37"/>
      <c r="E46" s="34">
        <f>+NPV(E42,E39:Y39)</f>
        <v>7869.4685820212953</v>
      </c>
      <c r="F46" s="35"/>
    </row>
    <row r="47" spans="1:25" x14ac:dyDescent="0.25">
      <c r="A47" s="33" t="s">
        <v>169</v>
      </c>
      <c r="B47" s="37"/>
      <c r="C47" s="37"/>
      <c r="D47" s="37"/>
      <c r="E47" s="36">
        <f>+IRR(E39:Y39,10%)</f>
        <v>5.4559128112676047E-2</v>
      </c>
      <c r="F47" s="37"/>
    </row>
    <row r="48" spans="1:25" x14ac:dyDescent="0.25">
      <c r="A48" s="33" t="s">
        <v>170</v>
      </c>
      <c r="B48" s="37"/>
      <c r="C48" s="37"/>
      <c r="D48" s="37"/>
      <c r="E48" s="34" cm="1">
        <f t="array" ref="E48">+NPV(E42,F19:Y19/-NPV(E42,E33:Y33))</f>
        <v>0.9431314402005152</v>
      </c>
      <c r="F48" s="37"/>
    </row>
    <row r="49" spans="1:26" x14ac:dyDescent="0.25">
      <c r="A49" s="33" t="s">
        <v>171</v>
      </c>
      <c r="B49" s="37"/>
      <c r="C49" s="37"/>
      <c r="D49" s="37"/>
      <c r="E49" s="38" cm="1">
        <f t="array" ref="E49">+LOOKUP(INDEX(E40:Y40,MATCH(TRUE,E40:Y40&gt;0,0)),E40:Y40,E9:Y9)</f>
        <v>13</v>
      </c>
      <c r="F49" s="37" t="s">
        <v>173</v>
      </c>
    </row>
    <row r="50" spans="1:26" x14ac:dyDescent="0.25">
      <c r="A50" s="33" t="s">
        <v>172</v>
      </c>
      <c r="B50" s="37"/>
      <c r="C50" s="37"/>
      <c r="D50" s="37"/>
      <c r="E50" s="38" cm="1">
        <f t="array" ref="E50">+LOOKUP(INDEX(E44:Y44,MATCH(TRUE,E44:Y44&gt;0,0)),E44:Y44,E9:Y9)</f>
        <v>17</v>
      </c>
      <c r="F50" s="37" t="s">
        <v>173</v>
      </c>
    </row>
    <row r="53" spans="1:26" x14ac:dyDescent="0.25">
      <c r="A53" s="66" t="s">
        <v>156</v>
      </c>
      <c r="B53" s="66"/>
      <c r="C53" s="66"/>
      <c r="D53" s="66"/>
      <c r="E53" s="3">
        <f>IF(E9&lt;&gt;"",E33,"")</f>
        <v>-41300</v>
      </c>
      <c r="F53" s="3">
        <f>IF(F9&lt;&gt;"",F33,"")</f>
        <v>-5123.2692874888126</v>
      </c>
      <c r="G53" s="3">
        <f t="shared" ref="G53:Y53" si="15">IF(G9&lt;&gt;"",G33,"")</f>
        <v>-5123.2692874888126</v>
      </c>
      <c r="H53" s="3">
        <f t="shared" si="15"/>
        <v>-5123.2692874888126</v>
      </c>
      <c r="I53" s="3">
        <f t="shared" si="15"/>
        <v>-5123.2692874888126</v>
      </c>
      <c r="J53" s="3">
        <f t="shared" si="15"/>
        <v>-5123.2692874888126</v>
      </c>
      <c r="K53" s="3">
        <f t="shared" si="15"/>
        <v>-2265.9490484960097</v>
      </c>
      <c r="L53" s="3">
        <f t="shared" si="15"/>
        <v>-2265.9490484960097</v>
      </c>
      <c r="M53" s="3">
        <f t="shared" si="15"/>
        <v>-2265.9490484960097</v>
      </c>
      <c r="N53" s="3">
        <f t="shared" si="15"/>
        <v>-2265.9490484960097</v>
      </c>
      <c r="O53" s="3">
        <f t="shared" si="15"/>
        <v>-2265.9490484960097</v>
      </c>
      <c r="P53" s="3">
        <f t="shared" si="15"/>
        <v>-2265.9490484960097</v>
      </c>
      <c r="Q53" s="3">
        <f t="shared" si="15"/>
        <v>-2265.9490484960097</v>
      </c>
      <c r="R53" s="3">
        <f t="shared" si="15"/>
        <v>-2265.9490484960097</v>
      </c>
      <c r="S53" s="3">
        <f t="shared" si="15"/>
        <v>-2265.9490484960097</v>
      </c>
      <c r="T53" s="3">
        <f t="shared" si="15"/>
        <v>-2265.9490484960097</v>
      </c>
      <c r="U53" s="3">
        <f t="shared" si="15"/>
        <v>-2265.9490484960097</v>
      </c>
      <c r="V53" s="3">
        <f t="shared" si="15"/>
        <v>-2265.9490484960097</v>
      </c>
      <c r="W53" s="3">
        <f t="shared" si="15"/>
        <v>-2265.9490484960097</v>
      </c>
      <c r="X53" s="3">
        <f t="shared" si="15"/>
        <v>-2265.9490484960097</v>
      </c>
      <c r="Y53" s="3">
        <f t="shared" si="15"/>
        <v>-2265.9490484960097</v>
      </c>
      <c r="Z53" s="3"/>
    </row>
    <row r="54" spans="1:26" x14ac:dyDescent="0.25">
      <c r="A54" s="66" t="s">
        <v>157</v>
      </c>
      <c r="B54" s="66"/>
      <c r="C54" s="66"/>
      <c r="D54" s="66"/>
      <c r="E54" s="3">
        <f>IF(E9&lt;&gt;"",E53*(1+$E$42)^-E9,"")</f>
        <v>-41300</v>
      </c>
      <c r="F54" s="3">
        <f>IF(F9&lt;&gt;"",F53*(1+$E$42)^-F9,"")</f>
        <v>-4940.5410442656703</v>
      </c>
      <c r="G54" s="3">
        <f t="shared" ref="G54:Y54" si="16">IF(G9&lt;&gt;"",G53*(1+$E$42)^-G9,"")</f>
        <v>-4764.3300479405088</v>
      </c>
      <c r="H54" s="3">
        <f t="shared" si="16"/>
        <v>-4594.4038521964403</v>
      </c>
      <c r="I54" s="3">
        <f t="shared" si="16"/>
        <v>-4430.538301224984</v>
      </c>
      <c r="J54" s="3">
        <f t="shared" si="16"/>
        <v>-4272.5172340340168</v>
      </c>
      <c r="K54" s="3">
        <f t="shared" si="16"/>
        <v>-1822.2757994558071</v>
      </c>
      <c r="L54" s="3">
        <f t="shared" si="16"/>
        <v>-1757.2818987221954</v>
      </c>
      <c r="M54" s="3">
        <f t="shared" si="16"/>
        <v>-1694.6060922824513</v>
      </c>
      <c r="N54" s="3">
        <f t="shared" si="16"/>
        <v>-1634.1657022068819</v>
      </c>
      <c r="O54" s="3">
        <f t="shared" si="16"/>
        <v>-1575.8809993846064</v>
      </c>
      <c r="P54" s="3">
        <f t="shared" si="16"/>
        <v>-1519.6750983499912</v>
      </c>
      <c r="Q54" s="3">
        <f t="shared" si="16"/>
        <v>-1465.4738558602451</v>
      </c>
      <c r="R54" s="3">
        <f t="shared" si="16"/>
        <v>-1413.2057730903771</v>
      </c>
      <c r="S54" s="3">
        <f t="shared" si="16"/>
        <v>-1362.801901316504</v>
      </c>
      <c r="T54" s="3">
        <f t="shared" si="16"/>
        <v>-1314.195750963087</v>
      </c>
      <c r="U54" s="3">
        <f t="shared" si="16"/>
        <v>-1267.3232038941217</v>
      </c>
      <c r="V54" s="3">
        <f t="shared" si="16"/>
        <v>-1222.122428832578</v>
      </c>
      <c r="W54" s="3">
        <f t="shared" si="16"/>
        <v>-1178.5337997965203</v>
      </c>
      <c r="X54" s="3">
        <f t="shared" si="16"/>
        <v>-1136.4998174443124</v>
      </c>
      <c r="Y54" s="3">
        <f t="shared" si="16"/>
        <v>-1095.9650332251497</v>
      </c>
      <c r="Z54" s="3"/>
    </row>
    <row r="55" spans="1:26" x14ac:dyDescent="0.25">
      <c r="A55" s="66" t="s">
        <v>158</v>
      </c>
      <c r="B55" s="66"/>
      <c r="C55" s="66"/>
      <c r="D55" s="66"/>
      <c r="E55" s="3">
        <f>+E54</f>
        <v>-41300</v>
      </c>
      <c r="F55" s="3">
        <f>+E55+F54</f>
        <v>-46240.541044265672</v>
      </c>
      <c r="G55" s="3">
        <f t="shared" ref="G55:Y55" si="17">+F55+G54</f>
        <v>-51004.87109220618</v>
      </c>
      <c r="H55" s="3">
        <f t="shared" si="17"/>
        <v>-55599.274944402619</v>
      </c>
      <c r="I55" s="3">
        <f t="shared" si="17"/>
        <v>-60029.813245627607</v>
      </c>
      <c r="J55" s="3">
        <f t="shared" si="17"/>
        <v>-64302.330479661621</v>
      </c>
      <c r="K55" s="3">
        <f t="shared" si="17"/>
        <v>-66124.606279117434</v>
      </c>
      <c r="L55" s="3">
        <f t="shared" si="17"/>
        <v>-67881.888177839632</v>
      </c>
      <c r="M55" s="3">
        <f t="shared" si="17"/>
        <v>-69576.494270122086</v>
      </c>
      <c r="N55" s="3">
        <f t="shared" si="17"/>
        <v>-71210.659972328969</v>
      </c>
      <c r="O55" s="3">
        <f t="shared" si="17"/>
        <v>-72786.540971713577</v>
      </c>
      <c r="P55" s="3">
        <f t="shared" si="17"/>
        <v>-74306.216070063572</v>
      </c>
      <c r="Q55" s="3">
        <f t="shared" si="17"/>
        <v>-75771.689925923813</v>
      </c>
      <c r="R55" s="3">
        <f t="shared" si="17"/>
        <v>-77184.895699014189</v>
      </c>
      <c r="S55" s="3">
        <f t="shared" si="17"/>
        <v>-78547.697600330692</v>
      </c>
      <c r="T55" s="3">
        <f t="shared" si="17"/>
        <v>-79861.89335129378</v>
      </c>
      <c r="U55" s="3">
        <f t="shared" si="17"/>
        <v>-81129.216555187901</v>
      </c>
      <c r="V55" s="3">
        <f t="shared" si="17"/>
        <v>-82351.338984020476</v>
      </c>
      <c r="W55" s="3">
        <f t="shared" si="17"/>
        <v>-83529.872783817002</v>
      </c>
      <c r="X55" s="3">
        <f t="shared" si="17"/>
        <v>-84666.372601261319</v>
      </c>
      <c r="Y55" s="3">
        <f t="shared" si="17"/>
        <v>-85762.337634486466</v>
      </c>
    </row>
    <row r="56" spans="1:26" x14ac:dyDescent="0.25">
      <c r="A56" s="66" t="s">
        <v>159</v>
      </c>
      <c r="B56" s="66"/>
      <c r="C56" s="66"/>
      <c r="D56" s="66"/>
      <c r="F56" s="3">
        <f t="shared" ref="F56:Y56" si="18">IF(F9&lt;&gt;"",F21,"")</f>
        <v>6727.7941989298815</v>
      </c>
      <c r="G56" s="3">
        <f t="shared" si="18"/>
        <v>6727.7941989298815</v>
      </c>
      <c r="H56" s="3">
        <f t="shared" si="18"/>
        <v>6727.7941989298815</v>
      </c>
      <c r="I56" s="3">
        <f t="shared" si="18"/>
        <v>6727.7941989298815</v>
      </c>
      <c r="J56" s="3">
        <f t="shared" si="18"/>
        <v>6727.7941989298815</v>
      </c>
      <c r="K56" s="3">
        <f t="shared" si="18"/>
        <v>6727.7941989298815</v>
      </c>
      <c r="L56" s="3">
        <f t="shared" si="18"/>
        <v>6727.7941989298815</v>
      </c>
      <c r="M56" s="3">
        <f t="shared" si="18"/>
        <v>6727.7941989298815</v>
      </c>
      <c r="N56" s="3">
        <f t="shared" si="18"/>
        <v>6727.7941989298815</v>
      </c>
      <c r="O56" s="3">
        <f t="shared" si="18"/>
        <v>6727.7941989298815</v>
      </c>
      <c r="P56" s="3">
        <f t="shared" si="18"/>
        <v>6727.7941989298815</v>
      </c>
      <c r="Q56" s="3">
        <f t="shared" si="18"/>
        <v>6727.7941989298815</v>
      </c>
      <c r="R56" s="3">
        <f t="shared" si="18"/>
        <v>6727.7941989298815</v>
      </c>
      <c r="S56" s="3">
        <f t="shared" si="18"/>
        <v>6727.7941989298815</v>
      </c>
      <c r="T56" s="3">
        <f t="shared" si="18"/>
        <v>6727.7941989298815</v>
      </c>
      <c r="U56" s="3">
        <f t="shared" si="18"/>
        <v>6727.7941989298815</v>
      </c>
      <c r="V56" s="3">
        <f t="shared" si="18"/>
        <v>6727.7941989298815</v>
      </c>
      <c r="W56" s="3">
        <f t="shared" si="18"/>
        <v>6727.7941989298815</v>
      </c>
      <c r="X56" s="3">
        <f t="shared" si="18"/>
        <v>6727.7941989298815</v>
      </c>
      <c r="Y56" s="3">
        <f t="shared" si="18"/>
        <v>6727.7941989298815</v>
      </c>
    </row>
    <row r="57" spans="1:26" x14ac:dyDescent="0.25">
      <c r="A57" s="66" t="s">
        <v>160</v>
      </c>
      <c r="B57" s="66"/>
      <c r="C57" s="66"/>
      <c r="D57" s="66"/>
      <c r="F57" s="3">
        <f>IF(F9&lt;&gt;"",F56*(1+$E$42)^-F9,"")</f>
        <v>6487.8384312837343</v>
      </c>
      <c r="G57" s="3">
        <f t="shared" ref="G57:Y57" si="19">IF(G9&lt;&gt;"",G56*(1+$E$42)^-G9,"")</f>
        <v>6256.4410066433538</v>
      </c>
      <c r="H57" s="3">
        <f t="shared" si="19"/>
        <v>6033.2966802725005</v>
      </c>
      <c r="I57" s="3">
        <f t="shared" si="19"/>
        <v>5818.111094396224</v>
      </c>
      <c r="J57" s="3">
        <f t="shared" si="19"/>
        <v>5610.6003899028447</v>
      </c>
      <c r="K57" s="3">
        <f t="shared" si="19"/>
        <v>5410.490831895102</v>
      </c>
      <c r="L57" s="3">
        <f t="shared" si="19"/>
        <v>5217.5184485965256</v>
      </c>
      <c r="M57" s="3">
        <f t="shared" si="19"/>
        <v>5031.428683136689</v>
      </c>
      <c r="N57" s="3">
        <f t="shared" si="19"/>
        <v>4851.9760577560037</v>
      </c>
      <c r="O57" s="3">
        <f t="shared" si="19"/>
        <v>4678.9238499871108</v>
      </c>
      <c r="P57" s="3">
        <f t="shared" si="19"/>
        <v>4512.0437803856794</v>
      </c>
      <c r="Q57" s="3">
        <f t="shared" si="19"/>
        <v>4351.1157113987174</v>
      </c>
      <c r="R57" s="3">
        <f t="shared" si="19"/>
        <v>4195.9273569731367</v>
      </c>
      <c r="S57" s="3">
        <f t="shared" si="19"/>
        <v>4046.2740025215244</v>
      </c>
      <c r="T57" s="3">
        <f t="shared" si="19"/>
        <v>3901.9582348756971</v>
      </c>
      <c r="U57" s="3">
        <f t="shared" si="19"/>
        <v>3762.7896818718423</v>
      </c>
      <c r="V57" s="3">
        <f t="shared" si="19"/>
        <v>3628.5847612236789</v>
      </c>
      <c r="W57" s="3">
        <f t="shared" si="19"/>
        <v>3499.1664383524121</v>
      </c>
      <c r="X57" s="3">
        <f t="shared" si="19"/>
        <v>3374.3639928539988</v>
      </c>
      <c r="Y57" s="3">
        <f t="shared" si="19"/>
        <v>3254.0127932956661</v>
      </c>
    </row>
    <row r="58" spans="1:26" x14ac:dyDescent="0.25">
      <c r="A58" s="66" t="s">
        <v>161</v>
      </c>
      <c r="B58" s="66"/>
      <c r="C58" s="66"/>
      <c r="D58" s="66"/>
      <c r="F58" s="3">
        <f t="shared" ref="F58:Y58" si="20">IF(F9&lt;&gt;"",E58+F57,"")</f>
        <v>6487.8384312837343</v>
      </c>
      <c r="G58" s="3">
        <f t="shared" si="20"/>
        <v>12744.279437927089</v>
      </c>
      <c r="H58" s="3">
        <f t="shared" si="20"/>
        <v>18777.576118199591</v>
      </c>
      <c r="I58" s="3">
        <f t="shared" si="20"/>
        <v>24595.687212595814</v>
      </c>
      <c r="J58" s="3">
        <f t="shared" si="20"/>
        <v>30206.287602498658</v>
      </c>
      <c r="K58" s="3">
        <f t="shared" si="20"/>
        <v>35616.77843439376</v>
      </c>
      <c r="L58" s="3">
        <f t="shared" si="20"/>
        <v>40834.296882990282</v>
      </c>
      <c r="M58" s="3">
        <f t="shared" si="20"/>
        <v>45865.725566126974</v>
      </c>
      <c r="N58" s="3">
        <f t="shared" si="20"/>
        <v>50717.701623882975</v>
      </c>
      <c r="O58" s="3">
        <f t="shared" si="20"/>
        <v>55396.625473870088</v>
      </c>
      <c r="P58" s="3">
        <f t="shared" si="20"/>
        <v>59908.669254255765</v>
      </c>
      <c r="Q58" s="3">
        <f t="shared" si="20"/>
        <v>64259.784965654486</v>
      </c>
      <c r="R58" s="3">
        <f t="shared" si="20"/>
        <v>68455.712322627616</v>
      </c>
      <c r="S58" s="3">
        <f t="shared" si="20"/>
        <v>72501.986325149133</v>
      </c>
      <c r="T58" s="3">
        <f t="shared" si="20"/>
        <v>76403.944560024829</v>
      </c>
      <c r="U58" s="3">
        <f t="shared" si="20"/>
        <v>80166.734241896673</v>
      </c>
      <c r="V58" s="3">
        <f t="shared" si="20"/>
        <v>83795.319003120356</v>
      </c>
      <c r="W58" s="3">
        <f t="shared" si="20"/>
        <v>87294.485441472774</v>
      </c>
      <c r="X58" s="3">
        <f t="shared" si="20"/>
        <v>90668.849434326767</v>
      </c>
      <c r="Y58" s="3">
        <f t="shared" si="20"/>
        <v>93922.862227622434</v>
      </c>
    </row>
    <row r="59" spans="1:26" x14ac:dyDescent="0.25">
      <c r="A59" s="66" t="s">
        <v>162</v>
      </c>
      <c r="B59" s="66"/>
      <c r="C59" s="66"/>
      <c r="D59" s="66"/>
      <c r="F59" s="3">
        <f t="shared" ref="F59:Y59" si="21">IF(F9&lt;&gt;"",F58+F55,"")</f>
        <v>-39752.702612981935</v>
      </c>
      <c r="G59" s="3">
        <f t="shared" si="21"/>
        <v>-38260.591654279095</v>
      </c>
      <c r="H59" s="3">
        <f t="shared" si="21"/>
        <v>-36821.698826203028</v>
      </c>
      <c r="I59" s="3">
        <f t="shared" si="21"/>
        <v>-35434.126033031789</v>
      </c>
      <c r="J59" s="3">
        <f t="shared" si="21"/>
        <v>-34096.042877162967</v>
      </c>
      <c r="K59" s="3">
        <f t="shared" si="21"/>
        <v>-30507.827844723673</v>
      </c>
      <c r="L59" s="3">
        <f t="shared" si="21"/>
        <v>-27047.59129484935</v>
      </c>
      <c r="M59" s="3">
        <f t="shared" si="21"/>
        <v>-23710.768703995112</v>
      </c>
      <c r="N59" s="3">
        <f t="shared" si="21"/>
        <v>-20492.958348445994</v>
      </c>
      <c r="O59" s="3">
        <f t="shared" si="21"/>
        <v>-17389.915497843489</v>
      </c>
      <c r="P59" s="3">
        <f t="shared" si="21"/>
        <v>-14397.546815807807</v>
      </c>
      <c r="Q59" s="3">
        <f t="shared" si="21"/>
        <v>-11511.904960269327</v>
      </c>
      <c r="R59" s="3">
        <f t="shared" si="21"/>
        <v>-8729.1833763865725</v>
      </c>
      <c r="S59" s="3">
        <f t="shared" si="21"/>
        <v>-6045.7112751815584</v>
      </c>
      <c r="T59" s="3">
        <f t="shared" si="21"/>
        <v>-3457.948791268951</v>
      </c>
      <c r="U59" s="3">
        <f t="shared" si="21"/>
        <v>-962.48231329122791</v>
      </c>
      <c r="V59" s="3">
        <f t="shared" si="21"/>
        <v>1443.9800190998794</v>
      </c>
      <c r="W59" s="3">
        <f t="shared" si="21"/>
        <v>3764.6126576557726</v>
      </c>
      <c r="X59" s="3">
        <f t="shared" si="21"/>
        <v>6002.4768330654479</v>
      </c>
      <c r="Y59" s="3">
        <f t="shared" si="21"/>
        <v>8160.5245931359677</v>
      </c>
    </row>
    <row r="60" spans="1:26" x14ac:dyDescent="0.25">
      <c r="A60" s="29" t="s">
        <v>163</v>
      </c>
      <c r="B60" s="29"/>
      <c r="C60" s="29"/>
      <c r="D60" s="29"/>
      <c r="E60" s="37"/>
      <c r="F60" s="39">
        <f>-F53/HEAT</f>
        <v>67.492855690770298</v>
      </c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2" spans="1:26" x14ac:dyDescent="0.25">
      <c r="A62" s="66" t="s">
        <v>100</v>
      </c>
      <c r="B62" s="66"/>
      <c r="C62" s="66"/>
      <c r="D62" s="66"/>
      <c r="E62" s="3">
        <f>E11</f>
        <v>10300</v>
      </c>
      <c r="F62" s="3">
        <f t="shared" ref="F62:Y62" si="22">IF(F9="",E62,-F55)</f>
        <v>46240.541044265672</v>
      </c>
      <c r="G62" s="3">
        <f t="shared" si="22"/>
        <v>51004.87109220618</v>
      </c>
      <c r="H62" s="3">
        <f t="shared" si="22"/>
        <v>55599.274944402619</v>
      </c>
      <c r="I62" s="3">
        <f t="shared" si="22"/>
        <v>60029.813245627607</v>
      </c>
      <c r="J62" s="3">
        <f t="shared" si="22"/>
        <v>64302.330479661621</v>
      </c>
      <c r="K62" s="3">
        <f t="shared" si="22"/>
        <v>66124.606279117434</v>
      </c>
      <c r="L62" s="3">
        <f t="shared" si="22"/>
        <v>67881.888177839632</v>
      </c>
      <c r="M62" s="3">
        <f t="shared" si="22"/>
        <v>69576.494270122086</v>
      </c>
      <c r="N62" s="3">
        <f t="shared" si="22"/>
        <v>71210.659972328969</v>
      </c>
      <c r="O62" s="3">
        <f t="shared" si="22"/>
        <v>72786.540971713577</v>
      </c>
      <c r="P62" s="3">
        <f t="shared" si="22"/>
        <v>74306.216070063572</v>
      </c>
      <c r="Q62" s="3">
        <f t="shared" si="22"/>
        <v>75771.689925923813</v>
      </c>
      <c r="R62" s="3">
        <f t="shared" si="22"/>
        <v>77184.895699014189</v>
      </c>
      <c r="S62" s="3">
        <f t="shared" si="22"/>
        <v>78547.697600330692</v>
      </c>
      <c r="T62" s="3">
        <f t="shared" si="22"/>
        <v>79861.89335129378</v>
      </c>
      <c r="U62" s="3">
        <f t="shared" si="22"/>
        <v>81129.216555187901</v>
      </c>
      <c r="V62" s="3">
        <f t="shared" si="22"/>
        <v>82351.338984020476</v>
      </c>
      <c r="W62" s="3">
        <f t="shared" si="22"/>
        <v>83529.872783817002</v>
      </c>
      <c r="X62" s="3">
        <f t="shared" si="22"/>
        <v>84666.372601261319</v>
      </c>
      <c r="Y62" s="3">
        <f t="shared" si="22"/>
        <v>85762.337634486466</v>
      </c>
    </row>
    <row r="63" spans="1:26" x14ac:dyDescent="0.25">
      <c r="A63" s="66" t="s">
        <v>101</v>
      </c>
      <c r="B63" s="66"/>
      <c r="C63" s="66"/>
      <c r="D63" s="66"/>
      <c r="F63" s="3">
        <f t="shared" ref="F63:Y63" si="23">IF(F9="",E63,F58)</f>
        <v>6487.8384312837343</v>
      </c>
      <c r="G63" s="3">
        <f t="shared" si="23"/>
        <v>12744.279437927089</v>
      </c>
      <c r="H63" s="3">
        <f t="shared" si="23"/>
        <v>18777.576118199591</v>
      </c>
      <c r="I63" s="3">
        <f t="shared" si="23"/>
        <v>24595.687212595814</v>
      </c>
      <c r="J63" s="3">
        <f t="shared" si="23"/>
        <v>30206.287602498658</v>
      </c>
      <c r="K63" s="3">
        <f t="shared" si="23"/>
        <v>35616.77843439376</v>
      </c>
      <c r="L63" s="3">
        <f t="shared" si="23"/>
        <v>40834.296882990282</v>
      </c>
      <c r="M63" s="3">
        <f t="shared" si="23"/>
        <v>45865.725566126974</v>
      </c>
      <c r="N63" s="3">
        <f t="shared" si="23"/>
        <v>50717.701623882975</v>
      </c>
      <c r="O63" s="3">
        <f t="shared" si="23"/>
        <v>55396.625473870088</v>
      </c>
      <c r="P63" s="3">
        <f t="shared" si="23"/>
        <v>59908.669254255765</v>
      </c>
      <c r="Q63" s="3">
        <f t="shared" si="23"/>
        <v>64259.784965654486</v>
      </c>
      <c r="R63" s="3">
        <f t="shared" si="23"/>
        <v>68455.712322627616</v>
      </c>
      <c r="S63" s="3">
        <f t="shared" si="23"/>
        <v>72501.986325149133</v>
      </c>
      <c r="T63" s="3">
        <f t="shared" si="23"/>
        <v>76403.944560024829</v>
      </c>
      <c r="U63" s="3">
        <f t="shared" si="23"/>
        <v>80166.734241896673</v>
      </c>
      <c r="V63" s="3">
        <f t="shared" si="23"/>
        <v>83795.319003120356</v>
      </c>
      <c r="W63" s="3">
        <f t="shared" si="23"/>
        <v>87294.485441472774</v>
      </c>
      <c r="X63" s="3">
        <f t="shared" si="23"/>
        <v>90668.849434326767</v>
      </c>
      <c r="Y63" s="3">
        <f t="shared" si="23"/>
        <v>93922.862227622434</v>
      </c>
    </row>
  </sheetData>
  <sheetProtection selectLockedCells="1"/>
  <mergeCells count="38">
    <mergeCell ref="A63:D63"/>
    <mergeCell ref="A35:D35"/>
    <mergeCell ref="A36:D36"/>
    <mergeCell ref="A37:D37"/>
    <mergeCell ref="A53:D53"/>
    <mergeCell ref="A54:D54"/>
    <mergeCell ref="A55:D55"/>
    <mergeCell ref="A56:D56"/>
    <mergeCell ref="A57:D57"/>
    <mergeCell ref="A58:D58"/>
    <mergeCell ref="A59:D59"/>
    <mergeCell ref="A62:D62"/>
    <mergeCell ref="A34:D34"/>
    <mergeCell ref="A19:D19"/>
    <mergeCell ref="A21:D21"/>
    <mergeCell ref="A22:D22"/>
    <mergeCell ref="A23:D23"/>
    <mergeCell ref="A24:D24"/>
    <mergeCell ref="A26:D26"/>
    <mergeCell ref="A20:D20"/>
    <mergeCell ref="A27:D27"/>
    <mergeCell ref="A28:D28"/>
    <mergeCell ref="A29:D29"/>
    <mergeCell ref="A30:D30"/>
    <mergeCell ref="A31:D31"/>
    <mergeCell ref="F3:I3"/>
    <mergeCell ref="A7:D7"/>
    <mergeCell ref="I7:J7"/>
    <mergeCell ref="A12:D12"/>
    <mergeCell ref="A13:D13"/>
    <mergeCell ref="N7:O7"/>
    <mergeCell ref="A9:D9"/>
    <mergeCell ref="A11:D11"/>
    <mergeCell ref="A18:D18"/>
    <mergeCell ref="A16:D16"/>
    <mergeCell ref="A14:D14"/>
    <mergeCell ref="A15:D15"/>
    <mergeCell ref="A17:D17"/>
  </mergeCells>
  <dataValidations disablePrompts="1" count="2">
    <dataValidation allowBlank="1" showInputMessage="1" showErrorMessage="1" promptTitle="CashFlow" prompt="Ne obuhvata amortizaciju, ali obuhvata otplatu glavnice." sqref="A39"/>
    <dataValidation allowBlank="1" showInputMessage="1" showErrorMessage="1" promptTitle="BrutoDobit" prompt="Bruto dobit prema Bilansu uspeha, ne obuhvata otplatu glavice." sqref="A34:D34"/>
  </dataValidations>
  <hyperlinks>
    <hyperlink ref="I7:J7" location="Anuiteti!I4" display="NAZAD"/>
    <hyperlink ref="N7:O7" location="EkonIndikatori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D28" sqref="D28"/>
    </sheetView>
    <sheetView workbookViewId="1"/>
  </sheetViews>
  <sheetFormatPr defaultRowHeight="15" x14ac:dyDescent="0.25"/>
  <sheetData>
    <row r="3" spans="1:9" ht="16.5" x14ac:dyDescent="0.35">
      <c r="F3" s="56" t="s">
        <v>147</v>
      </c>
      <c r="G3" s="56"/>
      <c r="H3" s="56"/>
      <c r="I3" s="56"/>
    </row>
    <row r="7" spans="1:9" ht="15" customHeight="1" x14ac:dyDescent="0.25">
      <c r="A7" s="58" t="s">
        <v>106</v>
      </c>
      <c r="B7" s="58"/>
      <c r="C7" s="58"/>
      <c r="D7" s="58"/>
    </row>
    <row r="8" spans="1:9" ht="15" customHeight="1" x14ac:dyDescent="0.25">
      <c r="A8" s="58"/>
      <c r="B8" s="58"/>
      <c r="C8" s="58"/>
      <c r="D8" s="58"/>
    </row>
    <row r="9" spans="1:9" x14ac:dyDescent="0.25">
      <c r="A9" s="58"/>
      <c r="B9" s="58"/>
      <c r="C9" s="58"/>
      <c r="D9" s="58"/>
    </row>
    <row r="11" spans="1:9" x14ac:dyDescent="0.25">
      <c r="A11" s="74" t="s">
        <v>130</v>
      </c>
      <c r="B11" s="74"/>
      <c r="C11" s="61" t="s">
        <v>131</v>
      </c>
      <c r="D11" s="61"/>
    </row>
    <row r="12" spans="1:9" x14ac:dyDescent="0.25">
      <c r="A12" s="74"/>
      <c r="B12" s="74"/>
      <c r="C12" s="61"/>
      <c r="D12" s="61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konIndikatori!I1" display="NAZAD"/>
    <hyperlink ref="C11:D12" location="GrafEk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17</vt:i4>
      </vt:variant>
    </vt:vector>
  </HeadingPairs>
  <TitlesOfParts>
    <vt:vector size="33" baseType="lpstr">
      <vt:lpstr>Pocetna</vt:lpstr>
      <vt:lpstr>KonvFaktor</vt:lpstr>
      <vt:lpstr>PomTab1</vt:lpstr>
      <vt:lpstr>UnosPodataka</vt:lpstr>
      <vt:lpstr>TrosakEnergije</vt:lpstr>
      <vt:lpstr>Anuiteti</vt:lpstr>
      <vt:lpstr>FinaIndikatori</vt:lpstr>
      <vt:lpstr>FinInd+CO2</vt:lpstr>
      <vt:lpstr>GrafFina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AREA</vt:lpstr>
      <vt:lpstr>CARBON</vt:lpstr>
      <vt:lpstr>CERT</vt:lpstr>
      <vt:lpstr>CO2Tax</vt:lpstr>
      <vt:lpstr>EENERGIJA</vt:lpstr>
      <vt:lpstr>EPOW</vt:lpstr>
      <vt:lpstr>EPrice</vt:lpstr>
      <vt:lpstr>Equity</vt:lpstr>
      <vt:lpstr>eta</vt:lpstr>
      <vt:lpstr>etagrid</vt:lpstr>
      <vt:lpstr>HEAT</vt:lpstr>
      <vt:lpstr>HPrice</vt:lpstr>
      <vt:lpstr>Investment</vt:lpstr>
      <vt:lpstr>LCoEE</vt:lpstr>
      <vt:lpstr>Loan</vt:lpstr>
      <vt:lpstr>PROJEKAT</vt:lpstr>
      <vt:lpstr>WHOUR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2023-07-21T07:41:55Z</dcterms:modified>
</cp:coreProperties>
</file>