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2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3.xml" ContentType="application/vnd.openxmlformats-officedocument.drawingml.chart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43200" yWindow="0" windowWidth="14400" windowHeight="15600" firstSheet="3" activeTab="13"/>
  </bookViews>
  <sheets>
    <sheet name="Pocetna" sheetId="1" r:id="rId1"/>
    <sheet name="KonvFaktor" sheetId="19" r:id="rId2"/>
    <sheet name="PomTab1" sheetId="4" r:id="rId3"/>
    <sheet name="UnosPodataka" sheetId="2" r:id="rId4"/>
    <sheet name="TrosakEnergije" sheetId="5" r:id="rId5"/>
    <sheet name="Anuiteti" sheetId="6" r:id="rId6"/>
    <sheet name="FinaIndicators" sheetId="18" r:id="rId7"/>
    <sheet name="FinInd+CO2" sheetId="9" r:id="rId8"/>
    <sheet name="GrafFina" sheetId="10" r:id="rId9"/>
    <sheet name="LCoEE" sheetId="12" r:id="rId10"/>
    <sheet name="Osetljivost" sheetId="13" r:id="rId11"/>
    <sheet name="AkoESCO" sheetId="15" r:id="rId12"/>
    <sheet name="ESCOGrafFina" sheetId="16" r:id="rId13"/>
    <sheet name="REZIME" sheetId="17" r:id="rId14"/>
    <sheet name="Gorivo" sheetId="20" state="hidden" r:id="rId15"/>
  </sheets>
  <externalReferences>
    <externalReference r:id="rId16"/>
  </externalReferences>
  <definedNames>
    <definedName name="AREA">TrosakEnergije!$J$12</definedName>
    <definedName name="CARBON">TrosakEnergije!$J$22</definedName>
    <definedName name="CERT">TrosakEnergije!$L$21</definedName>
    <definedName name="CO2Tax">UnosPodataka!$M$13</definedName>
    <definedName name="ECONS">[1]EnergyCosts!$J$12</definedName>
    <definedName name="EENERGIJA">TrosakEnergije!$J$18</definedName>
    <definedName name="EPOW">TrosakEnergije!$J$16</definedName>
    <definedName name="EPrice">TrosakEnergije!$J$10</definedName>
    <definedName name="Equity">UnosPodataka!$F$27</definedName>
    <definedName name="eta">TrosakEnergije!$J$13</definedName>
    <definedName name="etagrid">TrosakEnergije!$J$14</definedName>
    <definedName name="FDS">[1]PomTab1!$L$27</definedName>
    <definedName name="FIRR">#REF!</definedName>
    <definedName name="FNPV">#REF!</definedName>
    <definedName name="HEAT">TrosakEnergije!$J$9</definedName>
    <definedName name="HPrice">TrosakEnergije!$J$11</definedName>
    <definedName name="InfRate" comment="Inflacija">0</definedName>
    <definedName name="Investment">UnosPodataka!$F$20</definedName>
    <definedName name="KamSptv">PomTab1!$L$27</definedName>
    <definedName name="Kurs_EUR" comment="Obračunski kurs EUR na dan 19-5-2022">117.489</definedName>
    <definedName name="LCoE">LCoEE!$E$19</definedName>
    <definedName name="Loan">UnosPodataka!$F$30</definedName>
    <definedName name="PDV" comment="Porez na dodatu vrednost (opšti)">0.2</definedName>
    <definedName name="PROJEKAT">Pocetna!$M$12</definedName>
    <definedName name="VAT" comment="Porez na poslovanje kompanije">0.15</definedName>
    <definedName name="WCONS">[1]EnergyCosts!$J$13</definedName>
    <definedName name="WHOUR">TrosakEnergije!$J$17</definedName>
    <definedName name="WPRICE">[1]EnergyCosts!$J$14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9" l="1"/>
  <c r="D16" i="19"/>
  <c r="D15" i="19"/>
  <c r="D14" i="19"/>
  <c r="D13" i="19"/>
  <c r="D12" i="19"/>
  <c r="C18" i="19" l="1"/>
  <c r="E17" i="19"/>
  <c r="E16" i="19"/>
  <c r="E15" i="19"/>
  <c r="E14" i="19"/>
  <c r="E13" i="19"/>
  <c r="E12" i="19"/>
  <c r="E18" i="19" l="1"/>
  <c r="E21" i="19" s="1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G25" i="9"/>
  <c r="F25" i="9"/>
  <c r="P23" i="18"/>
  <c r="Q23" i="18"/>
  <c r="R23" i="18"/>
  <c r="S23" i="18"/>
  <c r="T23" i="18"/>
  <c r="U23" i="18"/>
  <c r="V23" i="18"/>
  <c r="W23" i="18"/>
  <c r="X23" i="18"/>
  <c r="Y23" i="18"/>
  <c r="H23" i="18"/>
  <c r="I23" i="18"/>
  <c r="J23" i="18"/>
  <c r="K23" i="18"/>
  <c r="L23" i="18"/>
  <c r="M23" i="18"/>
  <c r="N23" i="18"/>
  <c r="O23" i="18"/>
  <c r="G23" i="18"/>
  <c r="F23" i="18"/>
  <c r="F20" i="2"/>
  <c r="F27" i="18" s="1"/>
  <c r="F26" i="18"/>
  <c r="F24" i="18"/>
  <c r="F15" i="18"/>
  <c r="E13" i="18"/>
  <c r="E12" i="18"/>
  <c r="K11" i="18"/>
  <c r="J11" i="18"/>
  <c r="G9" i="18"/>
  <c r="Q39" i="4" l="1"/>
  <c r="M24" i="2" s="1"/>
  <c r="F25" i="18"/>
  <c r="G27" i="18"/>
  <c r="G26" i="18"/>
  <c r="H9" i="18"/>
  <c r="H27" i="18" s="1"/>
  <c r="G24" i="18"/>
  <c r="G15" i="18"/>
  <c r="G25" i="18"/>
  <c r="H15" i="18"/>
  <c r="H26" i="18"/>
  <c r="I9" i="18"/>
  <c r="H24" i="18" l="1"/>
  <c r="H25" i="18"/>
  <c r="I27" i="18"/>
  <c r="I25" i="18"/>
  <c r="I26" i="18"/>
  <c r="J9" i="18"/>
  <c r="I24" i="18"/>
  <c r="I15" i="18"/>
  <c r="J27" i="18" l="1"/>
  <c r="J26" i="18"/>
  <c r="J25" i="18"/>
  <c r="J24" i="18"/>
  <c r="K9" i="18"/>
  <c r="J15" i="18"/>
  <c r="K26" i="18" l="1"/>
  <c r="K27" i="18"/>
  <c r="K24" i="18"/>
  <c r="K15" i="18"/>
  <c r="K25" i="18"/>
  <c r="L9" i="18"/>
  <c r="L15" i="18" l="1"/>
  <c r="L27" i="18"/>
  <c r="L24" i="18"/>
  <c r="L26" i="18"/>
  <c r="L25" i="18"/>
  <c r="M9" i="18"/>
  <c r="M26" i="18" l="1"/>
  <c r="M27" i="18"/>
  <c r="M25" i="18"/>
  <c r="M24" i="18"/>
  <c r="N9" i="18"/>
  <c r="M15" i="18"/>
  <c r="N27" i="18" l="1"/>
  <c r="N26" i="18"/>
  <c r="N25" i="18"/>
  <c r="N24" i="18"/>
  <c r="O9" i="18"/>
  <c r="N15" i="18"/>
  <c r="O24" i="18" l="1"/>
  <c r="O25" i="18"/>
  <c r="O15" i="18"/>
  <c r="O26" i="18"/>
  <c r="O27" i="18"/>
  <c r="P9" i="18"/>
  <c r="P22" i="18" l="1"/>
  <c r="P15" i="18"/>
  <c r="P25" i="18"/>
  <c r="P26" i="18"/>
  <c r="P27" i="18"/>
  <c r="Q9" i="18"/>
  <c r="P24" i="18"/>
  <c r="Q27" i="18" l="1"/>
  <c r="Q25" i="18"/>
  <c r="Q24" i="18"/>
  <c r="Q26" i="18"/>
  <c r="Q22" i="18"/>
  <c r="Q15" i="18"/>
  <c r="R9" i="18"/>
  <c r="R27" i="18" l="1"/>
  <c r="R26" i="18"/>
  <c r="R25" i="18"/>
  <c r="R24" i="18"/>
  <c r="S9" i="18"/>
  <c r="R22" i="18"/>
  <c r="R15" i="18"/>
  <c r="S26" i="18" l="1"/>
  <c r="S27" i="18"/>
  <c r="T9" i="18"/>
  <c r="S25" i="18"/>
  <c r="S24" i="18"/>
  <c r="S15" i="18"/>
  <c r="S22" i="18"/>
  <c r="T22" i="18" l="1"/>
  <c r="T15" i="18"/>
  <c r="T27" i="18"/>
  <c r="T24" i="18"/>
  <c r="T26" i="18"/>
  <c r="U9" i="18"/>
  <c r="T25" i="18"/>
  <c r="U26" i="18" l="1"/>
  <c r="U27" i="18"/>
  <c r="U25" i="18"/>
  <c r="U24" i="18"/>
  <c r="U15" i="18"/>
  <c r="U22" i="18"/>
  <c r="V9" i="18"/>
  <c r="V27" i="18" l="1"/>
  <c r="V26" i="18"/>
  <c r="V25" i="18"/>
  <c r="V24" i="18"/>
  <c r="W9" i="18"/>
  <c r="V22" i="18"/>
  <c r="V15" i="18"/>
  <c r="W24" i="18" l="1"/>
  <c r="W22" i="18"/>
  <c r="W25" i="18"/>
  <c r="X9" i="18"/>
  <c r="W26" i="18"/>
  <c r="W15" i="18"/>
  <c r="W27" i="18"/>
  <c r="X22" i="18" l="1"/>
  <c r="X15" i="18"/>
  <c r="X25" i="18"/>
  <c r="X26" i="18"/>
  <c r="Y9" i="18"/>
  <c r="X27" i="18"/>
  <c r="X24" i="18"/>
  <c r="Y27" i="18" l="1"/>
  <c r="Y25" i="18"/>
  <c r="Y24" i="18"/>
  <c r="Y26" i="18"/>
  <c r="Y22" i="18"/>
  <c r="Y15" i="18"/>
  <c r="J11" i="9" l="1"/>
  <c r="M21" i="2" l="1"/>
  <c r="F29" i="9" l="1"/>
  <c r="J9" i="5"/>
  <c r="E12" i="17"/>
  <c r="E9" i="17"/>
  <c r="F10" i="15"/>
  <c r="G10" i="15" s="1"/>
  <c r="G12" i="15" s="1"/>
  <c r="F10" i="12"/>
  <c r="G10" i="12" s="1"/>
  <c r="H10" i="12" s="1"/>
  <c r="I10" i="12" s="1"/>
  <c r="J10" i="12" s="1"/>
  <c r="K10" i="12" s="1"/>
  <c r="L10" i="12" s="1"/>
  <c r="M10" i="12" s="1"/>
  <c r="N10" i="12" s="1"/>
  <c r="O10" i="12" s="1"/>
  <c r="P10" i="12" s="1"/>
  <c r="Q10" i="12" s="1"/>
  <c r="R10" i="12" s="1"/>
  <c r="S10" i="12" s="1"/>
  <c r="T10" i="12" s="1"/>
  <c r="U10" i="12" s="1"/>
  <c r="V10" i="12" s="1"/>
  <c r="W10" i="12" s="1"/>
  <c r="X10" i="12" s="1"/>
  <c r="Y10" i="12" s="1"/>
  <c r="F26" i="9"/>
  <c r="F15" i="9"/>
  <c r="E13" i="9"/>
  <c r="E12" i="9"/>
  <c r="G9" i="9"/>
  <c r="G27" i="9" s="1"/>
  <c r="B14" i="6"/>
  <c r="B15" i="6" s="1"/>
  <c r="B16" i="6" s="1"/>
  <c r="B17" i="6" s="1"/>
  <c r="B18" i="6" s="1"/>
  <c r="B19" i="6" s="1"/>
  <c r="B20" i="6" s="1"/>
  <c r="B21" i="6" s="1"/>
  <c r="B22" i="6" s="1"/>
  <c r="B23" i="6" s="1"/>
  <c r="J22" i="5"/>
  <c r="J18" i="5"/>
  <c r="K11" i="9"/>
  <c r="F28" i="2"/>
  <c r="K26" i="4"/>
  <c r="C25" i="4"/>
  <c r="K24" i="4"/>
  <c r="I12" i="18" l="1"/>
  <c r="F14" i="18"/>
  <c r="G14" i="18"/>
  <c r="H14" i="18"/>
  <c r="I14" i="18"/>
  <c r="J14" i="18"/>
  <c r="K14" i="18"/>
  <c r="L14" i="18"/>
  <c r="M14" i="18"/>
  <c r="N14" i="18"/>
  <c r="O14" i="18"/>
  <c r="P14" i="18"/>
  <c r="Q14" i="18"/>
  <c r="R14" i="18"/>
  <c r="S14" i="18"/>
  <c r="T14" i="18"/>
  <c r="U14" i="18"/>
  <c r="V14" i="18"/>
  <c r="W14" i="18"/>
  <c r="X14" i="18"/>
  <c r="Y14" i="18"/>
  <c r="I11" i="9"/>
  <c r="I11" i="18"/>
  <c r="M16" i="12"/>
  <c r="I12" i="9"/>
  <c r="D23" i="6"/>
  <c r="C23" i="6"/>
  <c r="B24" i="6"/>
  <c r="E23" i="6"/>
  <c r="G13" i="15"/>
  <c r="H10" i="15"/>
  <c r="F12" i="15"/>
  <c r="E15" i="15" s="1"/>
  <c r="G26" i="9"/>
  <c r="H9" i="9"/>
  <c r="H14" i="9" s="1"/>
  <c r="G15" i="9"/>
  <c r="F30" i="2"/>
  <c r="G28" i="2"/>
  <c r="G10" i="2"/>
  <c r="G14" i="2"/>
  <c r="G18" i="2"/>
  <c r="G24" i="2"/>
  <c r="G15" i="2"/>
  <c r="G20" i="2"/>
  <c r="G12" i="2"/>
  <c r="G16" i="2"/>
  <c r="G17" i="2"/>
  <c r="G11" i="2"/>
  <c r="G27" i="2"/>
  <c r="G9" i="2"/>
  <c r="G13" i="2"/>
  <c r="G23" i="2"/>
  <c r="G22" i="2"/>
  <c r="F21" i="2"/>
  <c r="F27" i="9"/>
  <c r="F12" i="12"/>
  <c r="E10" i="17"/>
  <c r="G29" i="9"/>
  <c r="F14" i="9"/>
  <c r="F16" i="9"/>
  <c r="F20" i="9" s="1"/>
  <c r="Y16" i="12"/>
  <c r="Q16" i="12"/>
  <c r="I16" i="12"/>
  <c r="G28" i="9"/>
  <c r="X16" i="12"/>
  <c r="H16" i="12"/>
  <c r="F28" i="9"/>
  <c r="H28" i="9"/>
  <c r="U16" i="12"/>
  <c r="J16" i="12"/>
  <c r="N16" i="12"/>
  <c r="R16" i="12"/>
  <c r="V16" i="12"/>
  <c r="F16" i="12"/>
  <c r="G16" i="12"/>
  <c r="K16" i="12"/>
  <c r="O16" i="12"/>
  <c r="S16" i="12"/>
  <c r="W16" i="12"/>
  <c r="G14" i="9"/>
  <c r="G16" i="9"/>
  <c r="G20" i="9" s="1"/>
  <c r="P16" i="12"/>
  <c r="T16" i="12"/>
  <c r="L16" i="12"/>
  <c r="G30" i="2" l="1"/>
  <c r="E11" i="18"/>
  <c r="E29" i="18" s="1"/>
  <c r="X18" i="18"/>
  <c r="X19" i="18" s="1"/>
  <c r="T18" i="18"/>
  <c r="T19" i="18" s="1"/>
  <c r="P18" i="18"/>
  <c r="P19" i="18" s="1"/>
  <c r="H18" i="18"/>
  <c r="H19" i="18" s="1"/>
  <c r="W18" i="18"/>
  <c r="W19" i="18" s="1"/>
  <c r="K18" i="18"/>
  <c r="K19" i="18" s="1"/>
  <c r="V18" i="18"/>
  <c r="V19" i="18" s="1"/>
  <c r="R18" i="18"/>
  <c r="R19" i="18" s="1"/>
  <c r="N18" i="18"/>
  <c r="N19" i="18" s="1"/>
  <c r="J18" i="18"/>
  <c r="J19" i="18" s="1"/>
  <c r="F18" i="18"/>
  <c r="F19" i="18" s="1"/>
  <c r="L18" i="18"/>
  <c r="L19" i="18" s="1"/>
  <c r="S18" i="18"/>
  <c r="S19" i="18" s="1"/>
  <c r="O18" i="18"/>
  <c r="O19" i="18" s="1"/>
  <c r="G18" i="18"/>
  <c r="G19" i="18" s="1"/>
  <c r="Y18" i="18"/>
  <c r="Y19" i="18" s="1"/>
  <c r="U18" i="18"/>
  <c r="U19" i="18" s="1"/>
  <c r="Q18" i="18"/>
  <c r="Q19" i="18" s="1"/>
  <c r="M18" i="18"/>
  <c r="M19" i="18" s="1"/>
  <c r="I18" i="18"/>
  <c r="I19" i="18" s="1"/>
  <c r="G19" i="9"/>
  <c r="G30" i="9" s="1"/>
  <c r="F19" i="9"/>
  <c r="F30" i="9" s="1"/>
  <c r="H19" i="9"/>
  <c r="H30" i="9" s="1"/>
  <c r="H16" i="9"/>
  <c r="K25" i="4"/>
  <c r="K27" i="4" s="1"/>
  <c r="L27" i="4" s="1"/>
  <c r="H27" i="9"/>
  <c r="E11" i="9"/>
  <c r="E31" i="9" s="1"/>
  <c r="E34" i="9" s="1"/>
  <c r="I10" i="15"/>
  <c r="H12" i="15"/>
  <c r="H13" i="15" s="1"/>
  <c r="D24" i="6"/>
  <c r="C24" i="6"/>
  <c r="B25" i="6"/>
  <c r="E24" i="6"/>
  <c r="E9" i="6"/>
  <c r="E19" i="6" s="1"/>
  <c r="E11" i="17"/>
  <c r="F13" i="15"/>
  <c r="H15" i="9"/>
  <c r="I9" i="9"/>
  <c r="H26" i="9"/>
  <c r="H29" i="9"/>
  <c r="E13" i="17"/>
  <c r="F17" i="12"/>
  <c r="G17" i="12"/>
  <c r="H17" i="12" l="1"/>
  <c r="H20" i="9"/>
  <c r="H21" i="9" s="1"/>
  <c r="H55" i="9" s="1"/>
  <c r="H56" i="9" s="1"/>
  <c r="E31" i="18"/>
  <c r="E37" i="18" s="1"/>
  <c r="E38" i="18" s="1"/>
  <c r="E32" i="18"/>
  <c r="G21" i="9"/>
  <c r="G55" i="9" s="1"/>
  <c r="G56" i="9" s="1"/>
  <c r="E42" i="9"/>
  <c r="E40" i="18"/>
  <c r="I28" i="18"/>
  <c r="Q28" i="18"/>
  <c r="Q29" i="18" s="1"/>
  <c r="Y28" i="18"/>
  <c r="Y29" i="18" s="1"/>
  <c r="O28" i="18"/>
  <c r="L28" i="18"/>
  <c r="J28" i="18"/>
  <c r="R28" i="18"/>
  <c r="R29" i="18" s="1"/>
  <c r="K28" i="18"/>
  <c r="H28" i="18"/>
  <c r="T28" i="18"/>
  <c r="T29" i="18" s="1"/>
  <c r="M28" i="18"/>
  <c r="U28" i="18"/>
  <c r="U29" i="18" s="1"/>
  <c r="S28" i="18"/>
  <c r="S29" i="18" s="1"/>
  <c r="N28" i="18"/>
  <c r="V28" i="18"/>
  <c r="V29" i="18" s="1"/>
  <c r="W28" i="18"/>
  <c r="W29" i="18" s="1"/>
  <c r="P28" i="18"/>
  <c r="P29" i="18" s="1"/>
  <c r="X28" i="18"/>
  <c r="X29" i="18" s="1"/>
  <c r="G28" i="18"/>
  <c r="F28" i="18"/>
  <c r="F21" i="9"/>
  <c r="F55" i="9" s="1"/>
  <c r="F56" i="9" s="1"/>
  <c r="F57" i="9" s="1"/>
  <c r="F62" i="9" s="1"/>
  <c r="E18" i="6"/>
  <c r="E21" i="6"/>
  <c r="E14" i="6"/>
  <c r="E20" i="6"/>
  <c r="E22" i="6"/>
  <c r="E16" i="6"/>
  <c r="E17" i="6"/>
  <c r="E13" i="6"/>
  <c r="C13" i="6"/>
  <c r="E15" i="6"/>
  <c r="D13" i="6"/>
  <c r="E33" i="9"/>
  <c r="E39" i="9" s="1"/>
  <c r="E43" i="9" s="1"/>
  <c r="E44" i="9" s="1"/>
  <c r="E54" i="9" s="1"/>
  <c r="D25" i="6"/>
  <c r="C25" i="6"/>
  <c r="B26" i="6"/>
  <c r="E25" i="6"/>
  <c r="J10" i="15"/>
  <c r="I12" i="15"/>
  <c r="I13" i="15" s="1"/>
  <c r="J9" i="9"/>
  <c r="I26" i="9"/>
  <c r="I15" i="9"/>
  <c r="I27" i="9"/>
  <c r="I29" i="9"/>
  <c r="I16" i="9"/>
  <c r="I20" i="9" s="1"/>
  <c r="I28" i="9"/>
  <c r="I14" i="9"/>
  <c r="S32" i="18" l="1"/>
  <c r="S53" i="18"/>
  <c r="S54" i="18" s="1"/>
  <c r="L53" i="18"/>
  <c r="L54" i="18" s="1"/>
  <c r="F53" i="18"/>
  <c r="F54" i="18" s="1"/>
  <c r="F55" i="18" s="1"/>
  <c r="W53" i="18"/>
  <c r="W54" i="18" s="1"/>
  <c r="W32" i="18"/>
  <c r="U32" i="18"/>
  <c r="U53" i="18"/>
  <c r="U54" i="18" s="1"/>
  <c r="T32" i="18"/>
  <c r="T53" i="18"/>
  <c r="T54" i="18" s="1"/>
  <c r="O53" i="18"/>
  <c r="O54" i="18" s="1"/>
  <c r="E41" i="18"/>
  <c r="E42" i="18" s="1"/>
  <c r="X32" i="18"/>
  <c r="X53" i="18"/>
  <c r="X54" i="18" s="1"/>
  <c r="N53" i="18"/>
  <c r="N54" i="18" s="1"/>
  <c r="K53" i="18"/>
  <c r="K54" i="18" s="1"/>
  <c r="J53" i="18"/>
  <c r="J54" i="18" s="1"/>
  <c r="Q32" i="18"/>
  <c r="Q53" i="18"/>
  <c r="Q54" i="18" s="1"/>
  <c r="F24" i="9"/>
  <c r="F31" i="9" s="1"/>
  <c r="F34" i="9" s="1"/>
  <c r="F36" i="9" s="1"/>
  <c r="F13" i="12" s="1"/>
  <c r="F14" i="12" s="1"/>
  <c r="F22" i="18"/>
  <c r="P32" i="18"/>
  <c r="P53" i="18"/>
  <c r="P54" i="18" s="1"/>
  <c r="V32" i="18"/>
  <c r="V53" i="18"/>
  <c r="V54" i="18" s="1"/>
  <c r="H53" i="18"/>
  <c r="H54" i="18" s="1"/>
  <c r="I53" i="18"/>
  <c r="I54" i="18" s="1"/>
  <c r="G53" i="18"/>
  <c r="G54" i="18" s="1"/>
  <c r="M53" i="18"/>
  <c r="M54" i="18" s="1"/>
  <c r="R32" i="18"/>
  <c r="R53" i="18"/>
  <c r="R54" i="18" s="1"/>
  <c r="Y32" i="18"/>
  <c r="Y53" i="18"/>
  <c r="Y54" i="18" s="1"/>
  <c r="G57" i="9"/>
  <c r="G62" i="9" s="1"/>
  <c r="E40" i="9"/>
  <c r="I19" i="9"/>
  <c r="I30" i="9" s="1"/>
  <c r="E52" i="9"/>
  <c r="E61" i="9" s="1"/>
  <c r="C14" i="6"/>
  <c r="D14" i="6" s="1"/>
  <c r="D26" i="6"/>
  <c r="C26" i="6"/>
  <c r="B27" i="6"/>
  <c r="E26" i="6"/>
  <c r="J12" i="15"/>
  <c r="J13" i="15" s="1"/>
  <c r="K10" i="15"/>
  <c r="J26" i="9"/>
  <c r="J15" i="9"/>
  <c r="K9" i="9"/>
  <c r="J27" i="9"/>
  <c r="J14" i="9"/>
  <c r="J16" i="9"/>
  <c r="J28" i="9"/>
  <c r="J29" i="9"/>
  <c r="I17" i="12"/>
  <c r="E58" i="9"/>
  <c r="J17" i="12" l="1"/>
  <c r="J20" i="9"/>
  <c r="R34" i="18"/>
  <c r="R31" i="18" s="1"/>
  <c r="R50" i="18" s="1"/>
  <c r="R51" i="18" s="1"/>
  <c r="E50" i="18"/>
  <c r="E59" i="18" s="1"/>
  <c r="E52" i="18"/>
  <c r="F60" i="18"/>
  <c r="G55" i="18"/>
  <c r="W34" i="18"/>
  <c r="W31" i="18" s="1"/>
  <c r="W50" i="18" s="1"/>
  <c r="W51" i="18" s="1"/>
  <c r="H57" i="9"/>
  <c r="H62" i="9" s="1"/>
  <c r="G24" i="9"/>
  <c r="G31" i="9" s="1"/>
  <c r="G22" i="18"/>
  <c r="Y34" i="18"/>
  <c r="Y31" i="18" s="1"/>
  <c r="Y50" i="18" s="1"/>
  <c r="Y51" i="18" s="1"/>
  <c r="T34" i="18"/>
  <c r="T31" i="18" s="1"/>
  <c r="T50" i="18" s="1"/>
  <c r="T51" i="18" s="1"/>
  <c r="F29" i="18"/>
  <c r="Q34" i="18"/>
  <c r="Q31" i="18" s="1"/>
  <c r="Q50" i="18" s="1"/>
  <c r="Q51" i="18" s="1"/>
  <c r="U34" i="18"/>
  <c r="U31" i="18" s="1"/>
  <c r="U50" i="18" s="1"/>
  <c r="U51" i="18" s="1"/>
  <c r="V34" i="18"/>
  <c r="V31" i="18" s="1"/>
  <c r="V50" i="18" s="1"/>
  <c r="V51" i="18" s="1"/>
  <c r="P34" i="18"/>
  <c r="P31" i="18" s="1"/>
  <c r="P50" i="18" s="1"/>
  <c r="P51" i="18" s="1"/>
  <c r="X34" i="18"/>
  <c r="X31" i="18" s="1"/>
  <c r="X50" i="18" s="1"/>
  <c r="X51" i="18" s="1"/>
  <c r="S34" i="18"/>
  <c r="S31" i="18" s="1"/>
  <c r="S50" i="18" s="1"/>
  <c r="S51" i="18" s="1"/>
  <c r="I21" i="9"/>
  <c r="I55" i="9" s="1"/>
  <c r="I56" i="9" s="1"/>
  <c r="I57" i="9" s="1"/>
  <c r="J19" i="9"/>
  <c r="J30" i="9" s="1"/>
  <c r="L10" i="15"/>
  <c r="K12" i="15"/>
  <c r="K13" i="15" s="1"/>
  <c r="D27" i="6"/>
  <c r="C27" i="6"/>
  <c r="B28" i="6"/>
  <c r="E27" i="6"/>
  <c r="K15" i="9"/>
  <c r="L9" i="9"/>
  <c r="K27" i="9"/>
  <c r="K26" i="9"/>
  <c r="K28" i="9"/>
  <c r="K16" i="9"/>
  <c r="K29" i="9"/>
  <c r="K14" i="9"/>
  <c r="F37" i="9"/>
  <c r="F33" i="9"/>
  <c r="F52" i="9" s="1"/>
  <c r="F53" i="9" s="1"/>
  <c r="F54" i="9" s="1"/>
  <c r="F58" i="9" s="1"/>
  <c r="C15" i="6"/>
  <c r="K17" i="12" l="1"/>
  <c r="K20" i="9"/>
  <c r="Y35" i="18"/>
  <c r="Y37" i="18" s="1"/>
  <c r="Y41" i="18" s="1"/>
  <c r="S35" i="18"/>
  <c r="S37" i="18" s="1"/>
  <c r="S41" i="18" s="1"/>
  <c r="Q35" i="18"/>
  <c r="Q37" i="18" s="1"/>
  <c r="Q41" i="18" s="1"/>
  <c r="V35" i="18"/>
  <c r="V37" i="18" s="1"/>
  <c r="V41" i="18" s="1"/>
  <c r="P35" i="18"/>
  <c r="P37" i="18" s="1"/>
  <c r="P41" i="18" s="1"/>
  <c r="H55" i="18"/>
  <c r="G60" i="18"/>
  <c r="F32" i="18"/>
  <c r="U35" i="18"/>
  <c r="U37" i="18" s="1"/>
  <c r="U41" i="18" s="1"/>
  <c r="X35" i="18"/>
  <c r="X37" i="18" s="1"/>
  <c r="X41" i="18" s="1"/>
  <c r="T35" i="18"/>
  <c r="T37" i="18" s="1"/>
  <c r="T41" i="18" s="1"/>
  <c r="G29" i="18"/>
  <c r="W35" i="18"/>
  <c r="W37" i="18" s="1"/>
  <c r="W41" i="18" s="1"/>
  <c r="E56" i="18"/>
  <c r="R35" i="18"/>
  <c r="R37" i="18" s="1"/>
  <c r="R41" i="18" s="1"/>
  <c r="J21" i="9"/>
  <c r="J55" i="9" s="1"/>
  <c r="J56" i="9" s="1"/>
  <c r="J57" i="9" s="1"/>
  <c r="J62" i="9" s="1"/>
  <c r="K19" i="9"/>
  <c r="K30" i="9" s="1"/>
  <c r="F39" i="9"/>
  <c r="F40" i="9" s="1"/>
  <c r="D28" i="6"/>
  <c r="C28" i="6"/>
  <c r="B29" i="6"/>
  <c r="E28" i="6"/>
  <c r="M10" i="15"/>
  <c r="L12" i="15"/>
  <c r="L13" i="15" s="1"/>
  <c r="F59" i="9"/>
  <c r="L15" i="9"/>
  <c r="M9" i="9"/>
  <c r="L29" i="9"/>
  <c r="L26" i="9"/>
  <c r="L27" i="9"/>
  <c r="L16" i="9"/>
  <c r="L28" i="9"/>
  <c r="L14" i="9"/>
  <c r="I62" i="9"/>
  <c r="F61" i="9"/>
  <c r="G34" i="9"/>
  <c r="G36" i="9" s="1"/>
  <c r="G13" i="12" s="1"/>
  <c r="G14" i="12" s="1"/>
  <c r="D15" i="6"/>
  <c r="L17" i="12" l="1"/>
  <c r="L20" i="9"/>
  <c r="G32" i="18"/>
  <c r="H24" i="9"/>
  <c r="H22" i="18"/>
  <c r="F34" i="18"/>
  <c r="F31" i="18" s="1"/>
  <c r="H60" i="18"/>
  <c r="I55" i="18"/>
  <c r="K21" i="9"/>
  <c r="K55" i="9" s="1"/>
  <c r="K56" i="9" s="1"/>
  <c r="K57" i="9" s="1"/>
  <c r="K62" i="9" s="1"/>
  <c r="L19" i="9"/>
  <c r="L30" i="9" s="1"/>
  <c r="F43" i="9"/>
  <c r="F44" i="9" s="1"/>
  <c r="D29" i="6"/>
  <c r="C29" i="6"/>
  <c r="B30" i="6"/>
  <c r="E29" i="6"/>
  <c r="N10" i="15"/>
  <c r="M12" i="15"/>
  <c r="M13" i="15" s="1"/>
  <c r="N9" i="9"/>
  <c r="M26" i="9"/>
  <c r="M15" i="9"/>
  <c r="M28" i="9"/>
  <c r="M14" i="9"/>
  <c r="M27" i="9"/>
  <c r="M29" i="9"/>
  <c r="M16" i="9"/>
  <c r="G37" i="9"/>
  <c r="G39" i="9" s="1"/>
  <c r="G33" i="9"/>
  <c r="G52" i="9" s="1"/>
  <c r="G53" i="9" s="1"/>
  <c r="G54" i="9" s="1"/>
  <c r="G61" i="9" s="1"/>
  <c r="C16" i="6"/>
  <c r="D16" i="6" s="1"/>
  <c r="H31" i="9"/>
  <c r="M17" i="12" l="1"/>
  <c r="M20" i="9"/>
  <c r="F50" i="18"/>
  <c r="G34" i="18"/>
  <c r="G31" i="18" s="1"/>
  <c r="G50" i="18" s="1"/>
  <c r="G51" i="18" s="1"/>
  <c r="H29" i="18"/>
  <c r="I24" i="9"/>
  <c r="I22" i="18"/>
  <c r="I60" i="18"/>
  <c r="J55" i="18"/>
  <c r="F35" i="18"/>
  <c r="F37" i="18" s="1"/>
  <c r="L21" i="9"/>
  <c r="L55" i="9" s="1"/>
  <c r="L56" i="9" s="1"/>
  <c r="L57" i="9" s="1"/>
  <c r="L62" i="9" s="1"/>
  <c r="M19" i="9"/>
  <c r="M30" i="9" s="1"/>
  <c r="D30" i="6"/>
  <c r="C30" i="6"/>
  <c r="B31" i="6"/>
  <c r="E30" i="6"/>
  <c r="N12" i="15"/>
  <c r="N13" i="15" s="1"/>
  <c r="O10" i="15"/>
  <c r="N26" i="9"/>
  <c r="N15" i="9"/>
  <c r="O9" i="9"/>
  <c r="N27" i="9"/>
  <c r="N29" i="9"/>
  <c r="N16" i="9"/>
  <c r="N14" i="9"/>
  <c r="N28" i="9"/>
  <c r="G58" i="9"/>
  <c r="H34" i="9"/>
  <c r="H36" i="9" s="1"/>
  <c r="H13" i="12" s="1"/>
  <c r="H14" i="12" s="1"/>
  <c r="I31" i="9"/>
  <c r="G43" i="9"/>
  <c r="G44" i="9" s="1"/>
  <c r="G40" i="9"/>
  <c r="C17" i="6"/>
  <c r="N17" i="12" l="1"/>
  <c r="N20" i="9"/>
  <c r="G35" i="18"/>
  <c r="G37" i="18" s="1"/>
  <c r="G41" i="18" s="1"/>
  <c r="H32" i="18"/>
  <c r="I29" i="18"/>
  <c r="F41" i="18"/>
  <c r="F42" i="18" s="1"/>
  <c r="F38" i="18"/>
  <c r="J60" i="18"/>
  <c r="K55" i="18"/>
  <c r="F57" i="18"/>
  <c r="F51" i="18"/>
  <c r="F52" i="18" s="1"/>
  <c r="M21" i="9"/>
  <c r="M55" i="9" s="1"/>
  <c r="M56" i="9" s="1"/>
  <c r="M57" i="9" s="1"/>
  <c r="M62" i="9" s="1"/>
  <c r="N19" i="9"/>
  <c r="N30" i="9" s="1"/>
  <c r="D31" i="6"/>
  <c r="C31" i="6"/>
  <c r="B32" i="6"/>
  <c r="E31" i="6"/>
  <c r="O12" i="15"/>
  <c r="O13" i="15" s="1"/>
  <c r="P10" i="15"/>
  <c r="O15" i="9"/>
  <c r="O27" i="9"/>
  <c r="P9" i="9"/>
  <c r="O26" i="9"/>
  <c r="O16" i="9"/>
  <c r="O29" i="9"/>
  <c r="O14" i="9"/>
  <c r="O28" i="9"/>
  <c r="H37" i="9"/>
  <c r="H39" i="9" s="1"/>
  <c r="H40" i="9" s="1"/>
  <c r="H33" i="9"/>
  <c r="H52" i="9" s="1"/>
  <c r="H53" i="9" s="1"/>
  <c r="H54" i="9" s="1"/>
  <c r="H58" i="9" s="1"/>
  <c r="I34" i="9"/>
  <c r="I36" i="9" s="1"/>
  <c r="I13" i="12" s="1"/>
  <c r="I14" i="12" s="1"/>
  <c r="D17" i="6"/>
  <c r="O17" i="12" l="1"/>
  <c r="O20" i="9"/>
  <c r="G38" i="18"/>
  <c r="G42" i="18"/>
  <c r="J24" i="9"/>
  <c r="J31" i="9" s="1"/>
  <c r="J22" i="18"/>
  <c r="F59" i="18"/>
  <c r="G52" i="18"/>
  <c r="F56" i="18"/>
  <c r="H34" i="18"/>
  <c r="H31" i="18" s="1"/>
  <c r="K60" i="18"/>
  <c r="L55" i="18"/>
  <c r="I32" i="18"/>
  <c r="N21" i="9"/>
  <c r="N55" i="9" s="1"/>
  <c r="N56" i="9" s="1"/>
  <c r="N57" i="9" s="1"/>
  <c r="N62" i="9" s="1"/>
  <c r="O19" i="9"/>
  <c r="O30" i="9" s="1"/>
  <c r="Q10" i="15"/>
  <c r="P12" i="15"/>
  <c r="P13" i="15" s="1"/>
  <c r="D32" i="6"/>
  <c r="C32" i="6"/>
  <c r="E32" i="6"/>
  <c r="P15" i="9"/>
  <c r="Q9" i="9"/>
  <c r="P26" i="9"/>
  <c r="P24" i="9"/>
  <c r="P28" i="9"/>
  <c r="P14" i="9"/>
  <c r="P16" i="9"/>
  <c r="P27" i="9"/>
  <c r="P29" i="9"/>
  <c r="H61" i="9"/>
  <c r="I37" i="9"/>
  <c r="I39" i="9" s="1"/>
  <c r="I43" i="9" s="1"/>
  <c r="I33" i="9"/>
  <c r="I52" i="9" s="1"/>
  <c r="I53" i="9" s="1"/>
  <c r="I54" i="9" s="1"/>
  <c r="I58" i="9" s="1"/>
  <c r="C18" i="6"/>
  <c r="D18" i="6" s="1"/>
  <c r="H43" i="9"/>
  <c r="H44" i="9" s="1"/>
  <c r="P17" i="12" l="1"/>
  <c r="P20" i="9"/>
  <c r="L60" i="18"/>
  <c r="M55" i="18"/>
  <c r="J29" i="18"/>
  <c r="I34" i="18"/>
  <c r="I31" i="18" s="1"/>
  <c r="I50" i="18" s="1"/>
  <c r="I51" i="18" s="1"/>
  <c r="H50" i="18"/>
  <c r="H51" i="18" s="1"/>
  <c r="H52" i="18" s="1"/>
  <c r="K24" i="9"/>
  <c r="K22" i="18"/>
  <c r="H35" i="18"/>
  <c r="H37" i="18" s="1"/>
  <c r="G59" i="18"/>
  <c r="G56" i="18"/>
  <c r="O21" i="9"/>
  <c r="O55" i="9" s="1"/>
  <c r="O56" i="9" s="1"/>
  <c r="O57" i="9" s="1"/>
  <c r="O62" i="9" s="1"/>
  <c r="P19" i="9"/>
  <c r="P30" i="9" s="1"/>
  <c r="P31" i="9" s="1"/>
  <c r="R10" i="15"/>
  <c r="Q12" i="15"/>
  <c r="Q13" i="15" s="1"/>
  <c r="R9" i="9"/>
  <c r="Q26" i="9"/>
  <c r="Q24" i="9"/>
  <c r="Q15" i="9"/>
  <c r="Q16" i="9"/>
  <c r="Q28" i="9"/>
  <c r="Q14" i="9"/>
  <c r="Q27" i="9"/>
  <c r="Q29" i="9"/>
  <c r="I44" i="9"/>
  <c r="I61" i="9"/>
  <c r="I40" i="9"/>
  <c r="K31" i="9"/>
  <c r="J34" i="9"/>
  <c r="J36" i="9" s="1"/>
  <c r="J13" i="12" s="1"/>
  <c r="J14" i="12" s="1"/>
  <c r="C19" i="6"/>
  <c r="Q17" i="12" l="1"/>
  <c r="Q20" i="9"/>
  <c r="H59" i="18"/>
  <c r="I52" i="18"/>
  <c r="H56" i="18"/>
  <c r="H41" i="18"/>
  <c r="H42" i="18" s="1"/>
  <c r="H38" i="18"/>
  <c r="J32" i="18"/>
  <c r="K29" i="18"/>
  <c r="M60" i="18"/>
  <c r="N55" i="18"/>
  <c r="I35" i="18"/>
  <c r="I37" i="18" s="1"/>
  <c r="I41" i="18" s="1"/>
  <c r="P21" i="9"/>
  <c r="P55" i="9" s="1"/>
  <c r="P56" i="9" s="1"/>
  <c r="P57" i="9" s="1"/>
  <c r="P62" i="9" s="1"/>
  <c r="Q19" i="9"/>
  <c r="Q30" i="9" s="1"/>
  <c r="Q31" i="9" s="1"/>
  <c r="R12" i="15"/>
  <c r="R13" i="15" s="1"/>
  <c r="S10" i="15"/>
  <c r="R26" i="9"/>
  <c r="R24" i="9"/>
  <c r="R15" i="9"/>
  <c r="S9" i="9"/>
  <c r="R29" i="9"/>
  <c r="R14" i="9"/>
  <c r="R16" i="9"/>
  <c r="R20" i="9" s="1"/>
  <c r="R27" i="9"/>
  <c r="R28" i="9"/>
  <c r="J37" i="9"/>
  <c r="J39" i="9" s="1"/>
  <c r="J33" i="9"/>
  <c r="J52" i="9" s="1"/>
  <c r="J53" i="9" s="1"/>
  <c r="J54" i="9" s="1"/>
  <c r="J58" i="9" s="1"/>
  <c r="K34" i="9"/>
  <c r="K36" i="9" s="1"/>
  <c r="K13" i="12" s="1"/>
  <c r="K14" i="12" s="1"/>
  <c r="D19" i="6"/>
  <c r="I42" i="18" l="1"/>
  <c r="K32" i="18"/>
  <c r="I38" i="18"/>
  <c r="P34" i="9"/>
  <c r="P36" i="9" s="1"/>
  <c r="N60" i="18"/>
  <c r="O55" i="18"/>
  <c r="I59" i="18"/>
  <c r="I56" i="18"/>
  <c r="L24" i="9"/>
  <c r="L22" i="18"/>
  <c r="J34" i="18"/>
  <c r="J31" i="18" s="1"/>
  <c r="J50" i="18" s="1"/>
  <c r="J51" i="18" s="1"/>
  <c r="J52" i="18" s="1"/>
  <c r="Q21" i="9"/>
  <c r="Q34" i="9" s="1"/>
  <c r="R19" i="9"/>
  <c r="R30" i="9" s="1"/>
  <c r="R31" i="9" s="1"/>
  <c r="T10" i="15"/>
  <c r="S12" i="15"/>
  <c r="S13" i="15" s="1"/>
  <c r="S27" i="9"/>
  <c r="S15" i="9"/>
  <c r="T9" i="9"/>
  <c r="S26" i="9"/>
  <c r="S24" i="9"/>
  <c r="S29" i="9"/>
  <c r="S14" i="9"/>
  <c r="S28" i="9"/>
  <c r="S16" i="9"/>
  <c r="R17" i="12"/>
  <c r="J61" i="9"/>
  <c r="K37" i="9"/>
  <c r="K39" i="9" s="1"/>
  <c r="K43" i="9" s="1"/>
  <c r="K33" i="9"/>
  <c r="K52" i="9" s="1"/>
  <c r="K53" i="9" s="1"/>
  <c r="K54" i="9" s="1"/>
  <c r="K61" i="9" s="1"/>
  <c r="C20" i="6"/>
  <c r="D20" i="6" s="1"/>
  <c r="L31" i="9"/>
  <c r="J43" i="9"/>
  <c r="J44" i="9" s="1"/>
  <c r="J40" i="9"/>
  <c r="S17" i="12" l="1"/>
  <c r="S20" i="9"/>
  <c r="Q55" i="9"/>
  <c r="Q56" i="9" s="1"/>
  <c r="Q57" i="9" s="1"/>
  <c r="Q62" i="9" s="1"/>
  <c r="J35" i="18"/>
  <c r="J37" i="18" s="1"/>
  <c r="J41" i="18" s="1"/>
  <c r="J42" i="18" s="1"/>
  <c r="J59" i="18"/>
  <c r="J56" i="18"/>
  <c r="O60" i="18"/>
  <c r="P55" i="18"/>
  <c r="M24" i="9"/>
  <c r="M22" i="18"/>
  <c r="L29" i="18"/>
  <c r="K34" i="18"/>
  <c r="K31" i="18" s="1"/>
  <c r="K50" i="18" s="1"/>
  <c r="K51" i="18" s="1"/>
  <c r="K52" i="18" s="1"/>
  <c r="R21" i="9"/>
  <c r="R55" i="9" s="1"/>
  <c r="R56" i="9" s="1"/>
  <c r="S19" i="9"/>
  <c r="S30" i="9" s="1"/>
  <c r="S31" i="9" s="1"/>
  <c r="P33" i="9"/>
  <c r="P52" i="9" s="1"/>
  <c r="P53" i="9" s="1"/>
  <c r="P13" i="12"/>
  <c r="P14" i="12" s="1"/>
  <c r="U10" i="15"/>
  <c r="T12" i="15"/>
  <c r="T13" i="15" s="1"/>
  <c r="K44" i="9"/>
  <c r="K40" i="9"/>
  <c r="Q36" i="9"/>
  <c r="P37" i="9"/>
  <c r="P39" i="9" s="1"/>
  <c r="P43" i="9" s="1"/>
  <c r="T15" i="9"/>
  <c r="T29" i="9"/>
  <c r="U9" i="9"/>
  <c r="T26" i="9"/>
  <c r="T24" i="9"/>
  <c r="T28" i="9"/>
  <c r="T27" i="9"/>
  <c r="T14" i="9"/>
  <c r="T16" i="9"/>
  <c r="K58" i="9"/>
  <c r="L34" i="9"/>
  <c r="L36" i="9" s="1"/>
  <c r="L13" i="12" s="1"/>
  <c r="L14" i="12" s="1"/>
  <c r="M31" i="9"/>
  <c r="C21" i="6"/>
  <c r="T17" i="12" l="1"/>
  <c r="T20" i="9"/>
  <c r="R57" i="9"/>
  <c r="J38" i="18"/>
  <c r="L32" i="18"/>
  <c r="P60" i="18"/>
  <c r="Q55" i="18"/>
  <c r="K59" i="18"/>
  <c r="K56" i="18"/>
  <c r="M29" i="18"/>
  <c r="K35" i="18"/>
  <c r="K37" i="18" s="1"/>
  <c r="K41" i="18" s="1"/>
  <c r="K42" i="18" s="1"/>
  <c r="R34" i="9"/>
  <c r="R36" i="9" s="1"/>
  <c r="S21" i="9"/>
  <c r="S34" i="9" s="1"/>
  <c r="T19" i="9"/>
  <c r="T30" i="9" s="1"/>
  <c r="T31" i="9" s="1"/>
  <c r="Q33" i="9"/>
  <c r="Q52" i="9" s="1"/>
  <c r="Q53" i="9" s="1"/>
  <c r="Q13" i="12"/>
  <c r="Q14" i="12" s="1"/>
  <c r="V10" i="15"/>
  <c r="U12" i="15"/>
  <c r="U13" i="15" s="1"/>
  <c r="R62" i="9"/>
  <c r="V9" i="9"/>
  <c r="U26" i="9"/>
  <c r="U24" i="9"/>
  <c r="U15" i="9"/>
  <c r="U29" i="9"/>
  <c r="U14" i="9"/>
  <c r="U27" i="9"/>
  <c r="U28" i="9"/>
  <c r="U16" i="9"/>
  <c r="Q37" i="9"/>
  <c r="Q39" i="9" s="1"/>
  <c r="Q43" i="9" s="1"/>
  <c r="S55" i="9"/>
  <c r="S56" i="9" s="1"/>
  <c r="S57" i="9" s="1"/>
  <c r="L37" i="9"/>
  <c r="L39" i="9" s="1"/>
  <c r="L33" i="9"/>
  <c r="L52" i="9" s="1"/>
  <c r="L53" i="9" s="1"/>
  <c r="L54" i="9" s="1"/>
  <c r="L58" i="9" s="1"/>
  <c r="D21" i="6"/>
  <c r="M34" i="9"/>
  <c r="M36" i="9" s="1"/>
  <c r="M13" i="12" s="1"/>
  <c r="M14" i="12" s="1"/>
  <c r="U17" i="12" l="1"/>
  <c r="U20" i="9"/>
  <c r="K38" i="18"/>
  <c r="M32" i="18"/>
  <c r="N24" i="9"/>
  <c r="N31" i="9" s="1"/>
  <c r="N22" i="18"/>
  <c r="L34" i="18"/>
  <c r="L31" i="18" s="1"/>
  <c r="L50" i="18" s="1"/>
  <c r="L51" i="18" s="1"/>
  <c r="L52" i="18" s="1"/>
  <c r="Q60" i="18"/>
  <c r="R55" i="18"/>
  <c r="T21" i="9"/>
  <c r="T55" i="9" s="1"/>
  <c r="T56" i="9" s="1"/>
  <c r="T57" i="9" s="1"/>
  <c r="T62" i="9" s="1"/>
  <c r="U19" i="9"/>
  <c r="U30" i="9" s="1"/>
  <c r="U31" i="9" s="1"/>
  <c r="R33" i="9"/>
  <c r="R52" i="9" s="1"/>
  <c r="R53" i="9" s="1"/>
  <c r="R13" i="12"/>
  <c r="R14" i="12" s="1"/>
  <c r="R37" i="9"/>
  <c r="R39" i="9" s="1"/>
  <c r="R43" i="9" s="1"/>
  <c r="V12" i="15"/>
  <c r="V13" i="15" s="1"/>
  <c r="W10" i="15"/>
  <c r="S62" i="9"/>
  <c r="V26" i="9"/>
  <c r="V24" i="9"/>
  <c r="V15" i="9"/>
  <c r="W9" i="9"/>
  <c r="V27" i="9"/>
  <c r="V28" i="9"/>
  <c r="V29" i="9"/>
  <c r="V14" i="9"/>
  <c r="V16" i="9"/>
  <c r="S36" i="9"/>
  <c r="L61" i="9"/>
  <c r="M37" i="9"/>
  <c r="M39" i="9" s="1"/>
  <c r="M43" i="9" s="1"/>
  <c r="M33" i="9"/>
  <c r="M52" i="9" s="1"/>
  <c r="M53" i="9" s="1"/>
  <c r="M54" i="9" s="1"/>
  <c r="M58" i="9" s="1"/>
  <c r="C22" i="6"/>
  <c r="D22" i="6" s="1"/>
  <c r="L43" i="9"/>
  <c r="L44" i="9" s="1"/>
  <c r="L40" i="9"/>
  <c r="T34" i="9" l="1"/>
  <c r="T36" i="9" s="1"/>
  <c r="V17" i="12"/>
  <c r="V20" i="9"/>
  <c r="L35" i="18"/>
  <c r="L37" i="18" s="1"/>
  <c r="L41" i="18" s="1"/>
  <c r="L42" i="18" s="1"/>
  <c r="N29" i="18"/>
  <c r="L59" i="18"/>
  <c r="L56" i="18"/>
  <c r="M34" i="18"/>
  <c r="M31" i="18" s="1"/>
  <c r="M50" i="18" s="1"/>
  <c r="M51" i="18" s="1"/>
  <c r="M52" i="18" s="1"/>
  <c r="O24" i="9"/>
  <c r="O31" i="9" s="1"/>
  <c r="O34" i="9" s="1"/>
  <c r="O36" i="9" s="1"/>
  <c r="O13" i="12" s="1"/>
  <c r="O14" i="12" s="1"/>
  <c r="O22" i="18"/>
  <c r="R60" i="18"/>
  <c r="S55" i="18"/>
  <c r="L38" i="18"/>
  <c r="U21" i="9"/>
  <c r="U55" i="9" s="1"/>
  <c r="U56" i="9" s="1"/>
  <c r="U57" i="9" s="1"/>
  <c r="U62" i="9" s="1"/>
  <c r="V19" i="9"/>
  <c r="V30" i="9" s="1"/>
  <c r="V31" i="9" s="1"/>
  <c r="T33" i="9"/>
  <c r="T52" i="9" s="1"/>
  <c r="T53" i="9" s="1"/>
  <c r="T13" i="12"/>
  <c r="T14" i="12" s="1"/>
  <c r="S33" i="9"/>
  <c r="S52" i="9" s="1"/>
  <c r="S53" i="9" s="1"/>
  <c r="S13" i="12"/>
  <c r="S14" i="12" s="1"/>
  <c r="W12" i="15"/>
  <c r="X10" i="15"/>
  <c r="W13" i="15"/>
  <c r="M40" i="9"/>
  <c r="T37" i="9"/>
  <c r="T39" i="9" s="1"/>
  <c r="T43" i="9" s="1"/>
  <c r="M44" i="9"/>
  <c r="S37" i="9"/>
  <c r="S39" i="9" s="1"/>
  <c r="S43" i="9" s="1"/>
  <c r="W15" i="9"/>
  <c r="X9" i="9"/>
  <c r="W26" i="9"/>
  <c r="W24" i="9"/>
  <c r="W14" i="9"/>
  <c r="W16" i="9"/>
  <c r="W27" i="9"/>
  <c r="W29" i="9"/>
  <c r="W28" i="9"/>
  <c r="M61" i="9"/>
  <c r="N34" i="9"/>
  <c r="N36" i="9" s="1"/>
  <c r="N13" i="12" s="1"/>
  <c r="N14" i="12" s="1"/>
  <c r="W17" i="12" l="1"/>
  <c r="W20" i="9"/>
  <c r="U34" i="9"/>
  <c r="U36" i="9" s="1"/>
  <c r="M35" i="18"/>
  <c r="M37" i="18" s="1"/>
  <c r="M41" i="18" s="1"/>
  <c r="M42" i="18" s="1"/>
  <c r="M59" i="18"/>
  <c r="M56" i="18"/>
  <c r="N32" i="18"/>
  <c r="M38" i="18"/>
  <c r="O29" i="18"/>
  <c r="S60" i="18"/>
  <c r="T55" i="18"/>
  <c r="V21" i="9"/>
  <c r="V55" i="9" s="1"/>
  <c r="V56" i="9" s="1"/>
  <c r="V57" i="9" s="1"/>
  <c r="V62" i="9" s="1"/>
  <c r="W19" i="9"/>
  <c r="W30" i="9" s="1"/>
  <c r="W31" i="9" s="1"/>
  <c r="Y10" i="15"/>
  <c r="X12" i="15"/>
  <c r="X13" i="15" s="1"/>
  <c r="X15" i="9"/>
  <c r="Y9" i="9"/>
  <c r="X26" i="9"/>
  <c r="X24" i="9"/>
  <c r="X27" i="9"/>
  <c r="X29" i="9"/>
  <c r="X16" i="9"/>
  <c r="X14" i="9"/>
  <c r="X28" i="9"/>
  <c r="N37" i="9"/>
  <c r="N39" i="9" s="1"/>
  <c r="N43" i="9" s="1"/>
  <c r="N44" i="9" s="1"/>
  <c r="N33" i="9"/>
  <c r="N52" i="9" s="1"/>
  <c r="N53" i="9" s="1"/>
  <c r="N54" i="9" s="1"/>
  <c r="N58" i="9" s="1"/>
  <c r="O37" i="9"/>
  <c r="O39" i="9" s="1"/>
  <c r="O43" i="9" s="1"/>
  <c r="O33" i="9"/>
  <c r="O52" i="9" s="1"/>
  <c r="O53" i="9" s="1"/>
  <c r="V34" i="9" l="1"/>
  <c r="X17" i="12"/>
  <c r="X20" i="9"/>
  <c r="O32" i="18"/>
  <c r="T60" i="18"/>
  <c r="U55" i="18"/>
  <c r="N34" i="18"/>
  <c r="N31" i="18" s="1"/>
  <c r="N50" i="18" s="1"/>
  <c r="N51" i="18" s="1"/>
  <c r="N52" i="18" s="1"/>
  <c r="W21" i="9"/>
  <c r="W55" i="9" s="1"/>
  <c r="W56" i="9" s="1"/>
  <c r="W57" i="9" s="1"/>
  <c r="W62" i="9" s="1"/>
  <c r="X19" i="9"/>
  <c r="X30" i="9" s="1"/>
  <c r="X31" i="9" s="1"/>
  <c r="U33" i="9"/>
  <c r="U52" i="9" s="1"/>
  <c r="U53" i="9" s="1"/>
  <c r="U13" i="12"/>
  <c r="U14" i="12" s="1"/>
  <c r="Y12" i="15"/>
  <c r="Y13" i="15" s="1"/>
  <c r="N61" i="9"/>
  <c r="U37" i="9"/>
  <c r="U39" i="9" s="1"/>
  <c r="U43" i="9" s="1"/>
  <c r="Y27" i="9"/>
  <c r="Y26" i="9"/>
  <c r="Y24" i="9"/>
  <c r="Y15" i="9"/>
  <c r="Y14" i="9"/>
  <c r="Y28" i="9"/>
  <c r="Y29" i="9"/>
  <c r="Y16" i="9"/>
  <c r="N40" i="9"/>
  <c r="O40" i="9" s="1"/>
  <c r="P40" i="9" s="1"/>
  <c r="Q40" i="9" s="1"/>
  <c r="R40" i="9" s="1"/>
  <c r="S40" i="9" s="1"/>
  <c r="T40" i="9" s="1"/>
  <c r="V36" i="9"/>
  <c r="O54" i="9"/>
  <c r="P54" i="9" s="1"/>
  <c r="O44" i="9"/>
  <c r="P44" i="9" s="1"/>
  <c r="Q44" i="9" s="1"/>
  <c r="R44" i="9" s="1"/>
  <c r="S44" i="9" s="1"/>
  <c r="T44" i="9" s="1"/>
  <c r="Y17" i="12" l="1"/>
  <c r="Y20" i="9"/>
  <c r="W34" i="9"/>
  <c r="N59" i="18"/>
  <c r="N56" i="18"/>
  <c r="N35" i="18"/>
  <c r="N37" i="18" s="1"/>
  <c r="O34" i="18"/>
  <c r="O31" i="18" s="1"/>
  <c r="U60" i="18"/>
  <c r="V55" i="18"/>
  <c r="X21" i="9"/>
  <c r="X34" i="9" s="1"/>
  <c r="X36" i="9" s="1"/>
  <c r="X37" i="9" s="1"/>
  <c r="X39" i="9" s="1"/>
  <c r="X43" i="9" s="1"/>
  <c r="Y19" i="9"/>
  <c r="Y30" i="9" s="1"/>
  <c r="Y31" i="9" s="1"/>
  <c r="V33" i="9"/>
  <c r="V52" i="9" s="1"/>
  <c r="V53" i="9" s="1"/>
  <c r="V13" i="12"/>
  <c r="V14" i="12" s="1"/>
  <c r="U44" i="9"/>
  <c r="U40" i="9"/>
  <c r="V37" i="9"/>
  <c r="V39" i="9" s="1"/>
  <c r="V43" i="9" s="1"/>
  <c r="O58" i="9"/>
  <c r="O61" i="9"/>
  <c r="W36" i="9"/>
  <c r="P58" i="9"/>
  <c r="P61" i="9"/>
  <c r="Q54" i="9"/>
  <c r="X55" i="9" l="1"/>
  <c r="X56" i="9" s="1"/>
  <c r="X57" i="9" s="1"/>
  <c r="X62" i="9" s="1"/>
  <c r="O35" i="18"/>
  <c r="O37" i="18" s="1"/>
  <c r="O41" i="18" s="1"/>
  <c r="E44" i="18"/>
  <c r="E45" i="18"/>
  <c r="N41" i="18"/>
  <c r="N42" i="18" s="1"/>
  <c r="N38" i="18"/>
  <c r="V60" i="18"/>
  <c r="W55" i="18"/>
  <c r="O50" i="18"/>
  <c r="O51" i="18" s="1"/>
  <c r="O52" i="18" s="1"/>
  <c r="E46" i="18"/>
  <c r="Y21" i="9"/>
  <c r="Y55" i="9" s="1"/>
  <c r="Y56" i="9" s="1"/>
  <c r="Y57" i="9" s="1"/>
  <c r="Y62" i="9" s="1"/>
  <c r="X13" i="12"/>
  <c r="X14" i="12" s="1"/>
  <c r="W33" i="9"/>
  <c r="W52" i="9" s="1"/>
  <c r="W53" i="9" s="1"/>
  <c r="W13" i="12"/>
  <c r="W14" i="12" s="1"/>
  <c r="X33" i="9"/>
  <c r="X52" i="9" s="1"/>
  <c r="X53" i="9" s="1"/>
  <c r="V44" i="9"/>
  <c r="V40" i="9"/>
  <c r="W37" i="9"/>
  <c r="W39" i="9" s="1"/>
  <c r="Q58" i="9"/>
  <c r="R54" i="9"/>
  <c r="Q61" i="9"/>
  <c r="O38" i="18" l="1"/>
  <c r="P38" i="18" s="1"/>
  <c r="Q38" i="18" s="1"/>
  <c r="R38" i="18" s="1"/>
  <c r="S38" i="18" s="1"/>
  <c r="T38" i="18" s="1"/>
  <c r="U38" i="18" s="1"/>
  <c r="V38" i="18" s="1"/>
  <c r="W38" i="18" s="1"/>
  <c r="X38" i="18" s="1"/>
  <c r="Y38" i="18" s="1"/>
  <c r="E47" i="18" s="1" a="1"/>
  <c r="E47" i="18" s="1"/>
  <c r="O42" i="18"/>
  <c r="P42" i="18" s="1"/>
  <c r="Q42" i="18" s="1"/>
  <c r="R42" i="18" s="1"/>
  <c r="S42" i="18" s="1"/>
  <c r="T42" i="18" s="1"/>
  <c r="U42" i="18" s="1"/>
  <c r="V42" i="18" s="1"/>
  <c r="W42" i="18" s="1"/>
  <c r="X42" i="18" s="1"/>
  <c r="Y42" i="18" s="1"/>
  <c r="E48" i="18" s="1" a="1"/>
  <c r="E48" i="18" s="1"/>
  <c r="W60" i="18"/>
  <c r="X55" i="18"/>
  <c r="Y34" i="9"/>
  <c r="Y36" i="9" s="1"/>
  <c r="Y33" i="9" s="1"/>
  <c r="Y52" i="9" s="1"/>
  <c r="Y53" i="9" s="1"/>
  <c r="O59" i="18"/>
  <c r="P52" i="18"/>
  <c r="O56" i="18"/>
  <c r="Y13" i="12"/>
  <c r="Y14" i="12" s="1"/>
  <c r="E19" i="12" s="1"/>
  <c r="E14" i="17" s="1"/>
  <c r="W43" i="9"/>
  <c r="W44" i="9" s="1"/>
  <c r="X44" i="9" s="1"/>
  <c r="W40" i="9"/>
  <c r="X40" i="9" s="1"/>
  <c r="R61" i="9"/>
  <c r="S54" i="9"/>
  <c r="R58" i="9"/>
  <c r="E48" i="9" l="1"/>
  <c r="X60" i="18"/>
  <c r="Y55" i="18"/>
  <c r="P59" i="18"/>
  <c r="Q52" i="18"/>
  <c r="P56" i="18"/>
  <c r="Y37" i="9"/>
  <c r="Y39" i="9" s="1"/>
  <c r="E47" i="9" s="1"/>
  <c r="C34" i="13" s="1"/>
  <c r="S61" i="9"/>
  <c r="T54" i="9"/>
  <c r="S58" i="9"/>
  <c r="Y40" i="9" l="1"/>
  <c r="E49" i="9" s="1" a="1"/>
  <c r="E49" i="9" s="1"/>
  <c r="Y60" i="18"/>
  <c r="E46" i="9"/>
  <c r="B34" i="13" s="1"/>
  <c r="Y43" i="9"/>
  <c r="Y44" i="9" s="1"/>
  <c r="E50" i="9" s="1" a="1"/>
  <c r="E50" i="9" s="1"/>
  <c r="Q59" i="18"/>
  <c r="R52" i="18"/>
  <c r="Q56" i="18"/>
  <c r="E16" i="17"/>
  <c r="T61" i="9"/>
  <c r="U54" i="9"/>
  <c r="T58" i="9"/>
  <c r="R59" i="18" l="1"/>
  <c r="S52" i="18"/>
  <c r="R56" i="18"/>
  <c r="E15" i="17"/>
  <c r="U61" i="9"/>
  <c r="U58" i="9"/>
  <c r="V54" i="9"/>
  <c r="S59" i="18" l="1"/>
  <c r="T52" i="18"/>
  <c r="S56" i="18"/>
  <c r="V61" i="9"/>
  <c r="V58" i="9"/>
  <c r="W54" i="9"/>
  <c r="T59" i="18" l="1"/>
  <c r="U52" i="18"/>
  <c r="T56" i="18"/>
  <c r="W58" i="9"/>
  <c r="W61" i="9"/>
  <c r="X54" i="9"/>
  <c r="U59" i="18" l="1"/>
  <c r="V52" i="18"/>
  <c r="U56" i="18"/>
  <c r="Y54" i="9"/>
  <c r="X58" i="9"/>
  <c r="X61" i="9"/>
  <c r="V59" i="18" l="1"/>
  <c r="W52" i="18"/>
  <c r="V56" i="18"/>
  <c r="Y58" i="9"/>
  <c r="Y61" i="9"/>
  <c r="W59" i="18" l="1"/>
  <c r="X52" i="18"/>
  <c r="W56" i="18"/>
  <c r="X59" i="18" l="1"/>
  <c r="Y52" i="18"/>
  <c r="X56" i="18"/>
  <c r="Y59" i="18" l="1"/>
  <c r="Y56" i="1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<sst xmlns="http://schemas.openxmlformats.org/spreadsheetml/2006/main" count="341" uniqueCount="202">
  <si>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</si>
  <si>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</si>
  <si>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</si>
  <si>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</si>
  <si>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</si>
  <si>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</si>
  <si>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</si>
  <si>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</si>
  <si>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</si>
  <si>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</si>
  <si>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</si>
  <si>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</si>
  <si>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</si>
  <si>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</si>
  <si>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</si>
  <si>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</si>
  <si>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</si>
  <si>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</si>
  <si>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</si>
  <si>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</si>
  <si>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</si>
  <si>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</si>
  <si>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</si>
  <si>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</si>
  <si>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</si>
  <si>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</si>
  <si>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</si>
  <si>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</si>
  <si>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</si>
  <si>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</si>
  <si>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</si>
  <si>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</si>
  <si>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</si>
  <si>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</si>
  <si>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</si>
  <si>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</si>
  <si>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</si>
  <si>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</si>
  <si>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</si>
  <si>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</si>
  <si>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</si>
  <si>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</si>
  <si>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Toplotna pumpa velikog kapaciteta</t>
  </si>
  <si>
    <t>Foto-naponska instalacija</t>
  </si>
  <si>
    <t>Ugradnja termal-solar sistema u zgradi</t>
  </si>
  <si>
    <t>Termal-solar velikog kapaciteta</t>
  </si>
  <si>
    <t>Kotao na drvnu sečku</t>
  </si>
  <si>
    <t>Izračunavanje cene toplote</t>
  </si>
  <si>
    <t>Termoizolacija omotača zgrade</t>
  </si>
  <si>
    <t>Zamena stolarije</t>
  </si>
  <si>
    <t>Projekat</t>
  </si>
  <si>
    <t>Priprema projekta (projekti, dozvole, ostalo)</t>
  </si>
  <si>
    <t>Nadzor i upravljanje projektom</t>
  </si>
  <si>
    <t>Upravljački deo i SCADA</t>
  </si>
  <si>
    <t>Primopredaja postrojenja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</si>
  <si>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</si>
  <si>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</si>
  <si>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</si>
  <si>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</si>
  <si>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</si>
  <si>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</si>
  <si>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</si>
  <si>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</si>
  <si>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</si>
  <si>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Kamata na sredstva iz kredita</t>
  </si>
  <si>
    <t>Gorivo ili energija</t>
  </si>
  <si>
    <t>UNOS PODATAKA ZA PRORAČUN</t>
  </si>
  <si>
    <t>Ukupno:</t>
  </si>
  <si>
    <t>Ukupno uključujući PDV:</t>
  </si>
  <si>
    <t>CO2 Taksa</t>
  </si>
  <si>
    <t>Konverzioni CO2 faktor - t/MWh primarne energije</t>
  </si>
  <si>
    <t>UKUPNO:</t>
  </si>
  <si>
    <t>KREDIT:</t>
  </si>
  <si>
    <t>ENERGIJA I TROŠKOVI ENERGIJE</t>
  </si>
  <si>
    <t>Proizvodnja toplote</t>
  </si>
  <si>
    <t>Cena električne energije</t>
  </si>
  <si>
    <t>Cena toplote za krajnje kupce</t>
  </si>
  <si>
    <t>Efikasnost mreže daljinskog grejanja</t>
  </si>
  <si>
    <t>Snaga elektromotornih pogona</t>
  </si>
  <si>
    <t>Broj sati rada sa nazivnim kapacitetom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</si>
  <si>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</si>
  <si>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</si>
  <si>
    <t>IZRAČUNAVANJE ANUITETA</t>
  </si>
  <si>
    <t>Iznos kredita:</t>
  </si>
  <si>
    <t>Preostali iznos glavnice (EUR)</t>
  </si>
  <si>
    <t>Kamata = Troškovi kredita (EUR)</t>
  </si>
  <si>
    <t>Anuiteti (EUR)</t>
  </si>
  <si>
    <t>Kredit (EUR)</t>
  </si>
  <si>
    <t>Sopstveni kapital (EUR)</t>
  </si>
  <si>
    <t>Proizvodnja toplote (MWh/a)</t>
  </si>
  <si>
    <t>Potrošnja električne energije (MWh/a)</t>
  </si>
  <si>
    <t>Prodaja toplote (EUR/a)</t>
  </si>
  <si>
    <t>Operativni troškovi (EUR/a)</t>
  </si>
  <si>
    <t>Troškovi održavanja (EUR/a)</t>
  </si>
  <si>
    <t>Porez na dobit</t>
  </si>
  <si>
    <t>Dobit nakon oporezivanja (EUR/a)</t>
  </si>
  <si>
    <t>Graf - Troškovi diskontovano kumul.</t>
  </si>
  <si>
    <t>Graf - Prihodi diskontovano kumul.</t>
  </si>
  <si>
    <t>Vremenski okvir</t>
  </si>
  <si>
    <r>
      <t>Smanjenje 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</si>
  <si>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Prihodi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</si>
  <si>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Ukupan prihod (EUR)</t>
  </si>
  <si>
    <t>Troškovi električne energije (EUR/MWh)</t>
  </si>
  <si>
    <t>Udeo kupaca u uštedama (EUR/a)</t>
  </si>
  <si>
    <t>Ukupni godišnji troškovi (EUR/a)</t>
  </si>
  <si>
    <t>GRAFIK / CASH FLOW / FINANSIJSKI</t>
  </si>
  <si>
    <t>LCoE PRORAČUN</t>
  </si>
  <si>
    <t>Investicija (EUR)</t>
  </si>
  <si>
    <t>Operativni troškovi i održavanje (EUR)</t>
  </si>
  <si>
    <t>Ukupni troškovi (EUR)</t>
  </si>
  <si>
    <t>ANALIZA OSETLJIVOSTI</t>
  </si>
  <si>
    <t>Ugradnja TS ventila i delitelja troškova</t>
  </si>
  <si>
    <t>Kamatna stopa na sredstva iz kredita</t>
  </si>
  <si>
    <t>Priključenje novog objekta</t>
  </si>
  <si>
    <t>Nabavka termal solar panela</t>
  </si>
  <si>
    <t>Nabavka prateće opreme</t>
  </si>
  <si>
    <t>Montaža panela i prateće opreme</t>
  </si>
  <si>
    <t>Izrada konstrukcije za postavljanje panela</t>
  </si>
  <si>
    <t>Priključni toplovod</t>
  </si>
  <si>
    <t>Nepredviđeni radovi</t>
  </si>
  <si>
    <t>Površina polja termal solar kolektora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</si>
  <si>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</si>
  <si>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Stepen korisnosti postrojenja</t>
  </si>
  <si>
    <t>Prosečan prinos toplote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</si>
  <si>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d</t>
    </r>
  </si>
  <si>
    <t>h</t>
  </si>
  <si>
    <t>Potrošnja električne energije</t>
  </si>
  <si>
    <t>Da li je električna energija iz OIE</t>
  </si>
  <si>
    <t>NAZAD</t>
  </si>
  <si>
    <t>DALJE</t>
  </si>
  <si>
    <t>ESCO INVESTICIJA</t>
  </si>
  <si>
    <t>Udeo u uštedama ako grad iESCO (EUR)</t>
  </si>
  <si>
    <t>Diskontovan vrednost udela (EUR)</t>
  </si>
  <si>
    <t>N/A</t>
  </si>
  <si>
    <t>REZIME PROJEKTA</t>
  </si>
  <si>
    <t>Investiciona vrednost (EUR)</t>
  </si>
  <si>
    <t>Subvencije (EUR)</t>
  </si>
  <si>
    <t>LCoE(EE) (EUR/MWh)</t>
  </si>
  <si>
    <t>Miks goriva</t>
  </si>
  <si>
    <t>Prinos na sopstveni kapital</t>
  </si>
  <si>
    <t>Finansijska diskontna stopa</t>
  </si>
  <si>
    <t>Grantovi</t>
  </si>
  <si>
    <t>Kredit</t>
  </si>
  <si>
    <t>Ukupno</t>
  </si>
  <si>
    <t>Grantovi (EUR)</t>
  </si>
  <si>
    <t>TROŠKOVI</t>
  </si>
  <si>
    <t>Kamate (EUR/a)</t>
  </si>
  <si>
    <t>Otplata glavnice (EUR/a)</t>
  </si>
  <si>
    <t>BRUTO DOBIT (EUR/a)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</si>
  <si>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</si>
  <si>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</si>
  <si>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</si>
  <si>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</si>
  <si>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</si>
  <si>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</si>
  <si>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</si>
  <si>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</si>
  <si>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</si>
  <si>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Bruto dobit, diskontovano, kumulativno</t>
  </si>
  <si>
    <t>Cena koštanja (EUR/MWh)</t>
  </si>
  <si>
    <t>godina</t>
  </si>
  <si>
    <t>Diskontovani prihodi</t>
  </si>
  <si>
    <t>Diskontovani prihodi, kumul.</t>
  </si>
  <si>
    <t>Nominalni troškovi</t>
  </si>
  <si>
    <t>Diskontovani troškovi</t>
  </si>
  <si>
    <t>Diskontovani troškovi, kumul.</t>
  </si>
  <si>
    <t>PRIHODI</t>
  </si>
  <si>
    <t>Amortizacija (EUR)</t>
  </si>
  <si>
    <t>Ukupno troškovi cash flow</t>
  </si>
  <si>
    <t>Nominalni prihodi</t>
  </si>
  <si>
    <t>NPV</t>
  </si>
  <si>
    <t>IRR</t>
  </si>
  <si>
    <t>Bazni slučaj</t>
  </si>
  <si>
    <t>NPV = 0</t>
  </si>
  <si>
    <t>Cena toplote</t>
  </si>
  <si>
    <t>Investicije</t>
  </si>
  <si>
    <t>Projekat “Bolja energija"</t>
  </si>
  <si>
    <t>ANALIZA SA UKLJUČENIM CO₂</t>
  </si>
  <si>
    <r>
      <t>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</si>
  <si>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Sa CO</t>
    </r>
    <r>
      <rPr>
        <b/>
        <sz val="11"/>
        <color theme="1"/>
        <rFont val="Calibri"/>
        <family val="2"/>
      </rPr>
      <t>₂</t>
    </r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</si>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</sst>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_ ;[Red]\-#,##0.00\ "/>
    <numFmt numFmtId="165" formatCode="#,##0_ ;[Red]\-#,##0\ "/>
    <numFmt numFmtId="166" formatCode="0.0000"/>
    <numFmt numFmtId="167" formatCode="0.000"/>
    <numFmt numFmtId="168" formatCode="0.00000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8" tint="-0.249977111117893"/>
      <name val="Calibri"/>
      <family val="2"/>
      <scheme val="minor"/>
    </font>
    <font>
      <sz val="11"/>
      <color rgb="FFFFFFFF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vertAlign val="subscript"/>
      <sz val="11"/>
      <color rgb="FFFFFFFF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rgb="FF000000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0" fillId="0" borderId="0" applyFont="0" applyFill="0" applyBorder="0" applyAlignment="0" applyProtection="0"/>
  </cellStyleXfs>
  <cellXfs count="84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0" fontId="0" fillId="5" borderId="0" xfId="0" applyFill="1"/>
    <xf numFmtId="4" fontId="0" fillId="5" borderId="0" xfId="0" applyNumberFormat="1" applyFill="1"/>
    <xf numFmtId="0" fontId="12" fillId="0" borderId="0" xfId="0" applyFont="1" applyAlignment="1">
      <alignment horizontal="left"/>
    </xf>
    <xf numFmtId="10" fontId="0" fillId="0" borderId="0" xfId="2" applyNumberFormat="1" applyFont="1"/>
    <xf numFmtId="0" fontId="12" fillId="8" borderId="0" xfId="0" applyFont="1" applyFill="1" applyAlignment="1">
      <alignment horizontal="left"/>
    </xf>
    <xf numFmtId="164" fontId="0" fillId="8" borderId="0" xfId="0" applyNumberFormat="1" applyFill="1"/>
    <xf numFmtId="0" fontId="0" fillId="8" borderId="0" xfId="0" applyFill="1"/>
    <xf numFmtId="0" fontId="0" fillId="8" borderId="0" xfId="0" applyFill="1" applyAlignment="1">
      <alignment horizontal="center"/>
    </xf>
    <xf numFmtId="0" fontId="0" fillId="8" borderId="0" xfId="0" applyFill="1" applyAlignment="1">
      <alignment horizontal="left"/>
    </xf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65" fontId="0" fillId="0" borderId="0" xfId="0" applyNumberFormat="1"/>
    <xf numFmtId="10" fontId="11" fillId="0" borderId="0" xfId="2" applyNumberFormat="1" applyFont="1"/>
    <xf numFmtId="10" fontId="15" fillId="0" borderId="0" xfId="2" applyNumberFormat="1" applyFont="1"/>
    <xf numFmtId="10" fontId="15" fillId="0" borderId="0" xfId="0" applyNumberFormat="1" applyFont="1"/>
    <xf numFmtId="2" fontId="0" fillId="8" borderId="0" xfId="0" applyNumberFormat="1" applyFill="1"/>
    <xf numFmtId="166" fontId="0" fillId="0" borderId="0" xfId="0" applyNumberFormat="1"/>
    <xf numFmtId="10" fontId="12" fillId="8" borderId="0" xfId="0" applyNumberFormat="1" applyFont="1" applyFill="1"/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7" fontId="12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20" fillId="0" borderId="0" xfId="0" applyFont="1"/>
    <xf numFmtId="168" fontId="12" fillId="8" borderId="0" xfId="0" applyNumberFormat="1" applyFont="1" applyFill="1"/>
    <xf numFmtId="0" fontId="17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9" fillId="6" borderId="0" xfId="1" applyFont="1" applyFill="1" applyAlignment="1">
      <alignment horizontal="center" vertical="distributed"/>
    </xf>
    <xf numFmtId="0" fontId="9" fillId="7" borderId="0" xfId="1" applyFont="1" applyFill="1" applyAlignment="1">
      <alignment horizontal="center" vertical="distributed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0" fillId="5" borderId="0" xfId="0" applyFill="1" applyAlignment="1">
      <alignment horizontal="center"/>
    </xf>
    <xf numFmtId="0" fontId="18" fillId="9" borderId="0" xfId="0" applyFont="1" applyFill="1" applyAlignment="1">
      <alignment horizontal="center"/>
    </xf>
    <xf numFmtId="0" fontId="9" fillId="6" borderId="0" xfId="1" applyFont="1" applyFill="1" applyAlignment="1">
      <alignment horizontal="center"/>
    </xf>
    <xf numFmtId="0" fontId="9" fillId="7" borderId="0" xfId="1" applyFont="1" applyFill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0" fontId="9" fillId="7" borderId="0" xfId="1" applyFont="1" applyFill="1" applyAlignment="1">
      <alignment horizontal="distributed" vertical="distributed"/>
    </xf>
    <xf numFmtId="0" fontId="16" fillId="9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4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'FinInd+CO2'!$A$58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'FinInd+CO2'!$E$58:$Y$58</c:f>
              <c:numCache>
                <c:formatCode>#,##0.00</c:formatCode>
                <c:ptCount val="21"/>
                <c:pt idx="0">
                  <c:v>-466000</c:v>
                </c:pt>
                <c:pt idx="1">
                  <c:v>-443773.71120337979</c:v>
                </c:pt>
                <c:pt idx="2">
                  <c:v>-422134.92022533098</c:v>
                </c:pt>
                <c:pt idx="3">
                  <c:v>-401068.09799170255</c:v>
                </c:pt>
                <c:pt idx="4">
                  <c:v>-380558.12590160186</c:v>
                </c:pt>
                <c:pt idx="5">
                  <c:v>-360590.28497753397</c:v>
                </c:pt>
                <c:pt idx="6">
                  <c:v>-341150.24530233024</c:v>
                </c:pt>
                <c:pt idx="7">
                  <c:v>-322224.0557352858</c:v>
                </c:pt>
                <c:pt idx="8">
                  <c:v>-303798.13390012644</c:v>
                </c:pt>
                <c:pt idx="9">
                  <c:v>-285859.25643761863</c:v>
                </c:pt>
                <c:pt idx="10">
                  <c:v>-268394.54951582861</c:v>
                </c:pt>
                <c:pt idx="11">
                  <c:v>-240055.49395403743</c:v>
                </c:pt>
                <c:pt idx="12">
                  <c:v>-212465.51231436036</c:v>
                </c:pt>
                <c:pt idx="13">
                  <c:v>-185604.80465182161</c:v>
                </c:pt>
                <c:pt idx="14">
                  <c:v>-159454.09438477352</c:v>
                </c:pt>
                <c:pt idx="15">
                  <c:v>-133994.61446106201</c:v>
                </c:pt>
                <c:pt idx="16">
                  <c:v>-109208.09388985462</c:v>
                </c:pt>
                <c:pt idx="17">
                  <c:v>-85076.744629467838</c:v>
                </c:pt>
                <c:pt idx="18">
                  <c:v>-61583.248821782414</c:v>
                </c:pt>
                <c:pt idx="19">
                  <c:v>-38710.746364085702</c:v>
                </c:pt>
                <c:pt idx="20">
                  <c:v>-16442.822809422505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568-4E6F-9F4F-6B6AF5948B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773696"/>
        <c:axId val="164591808"/>
      </c:barChart>
      <c:lineChart>
        <c:grouping val="standard"/>
        <c:varyColors val="0"/>
        <c:ser>
          <c:idx val="0"/>
          <c:order val="0"/>
          <c:tx>
            <c:strRef>
              <c:f>'FinInd+CO2'!$A$54</c:f>
              <c:strCache>
                <c:ptCount val="1"/>
                <c:pt idx="0">
                  <c:v>Diskontovani troškovi,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0">
                  <c:v>466000</c:v>
                </c:pt>
                <c:pt idx="1">
                  <c:v>501733.37511910428</c:v>
                </c:pt>
                <c:pt idx="2">
                  <c:v>536522.22548534651</c:v>
                </c:pt>
                <c:pt idx="3">
                  <c:v>570391.51731044892</c:v>
                </c:pt>
                <c:pt idx="4">
                  <c:v>603365.55688512465</c:v>
                </c:pt>
                <c:pt idx="5">
                  <c:v>635468.00802248309</c:v>
                </c:pt>
                <c:pt idx="6">
                  <c:v>666721.90904036048</c:v>
                </c:pt>
                <c:pt idx="7">
                  <c:v>697149.68929476419</c:v>
                </c:pt>
                <c:pt idx="8" formatCode="#,##0">
                  <c:v>726773.18527629599</c:v>
                </c:pt>
                <c:pt idx="9">
                  <c:v>755613.65628110489</c:v>
                </c:pt>
                <c:pt idx="10" formatCode="#,##0">
                  <c:v>783691.79966761731</c:v>
                </c:pt>
                <c:pt idx="11">
                  <c:v>799691.78007281036</c:v>
                </c:pt>
                <c:pt idx="12" formatCode="#,##0">
                  <c:v>815268.83995936671</c:v>
                </c:pt>
                <c:pt idx="13">
                  <c:v>830434.1582012946</c:v>
                </c:pt>
                <c:pt idx="14">
                  <c:v>845198.61818629073</c:v>
                </c:pt>
                <c:pt idx="15">
                  <c:v>859572.81562620157</c:v>
                </c:pt>
                <c:pt idx="16">
                  <c:v>873567.0661610337</c:v>
                </c:pt>
                <c:pt idx="17">
                  <c:v>887191.41276197089</c:v>
                </c:pt>
                <c:pt idx="18">
                  <c:v>900455.63293871039</c:v>
                </c:pt>
                <c:pt idx="19">
                  <c:v>913369.24575629097</c:v>
                </c:pt>
                <c:pt idx="20">
                  <c:v>925941.51866644819</c:v>
                </c:pt>
              </c:numCache>
            </c:numRef>
          </c:val>
          <c:smooth val="0"/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568-4E6F-9F4F-6B6AF5948B44}"/>
            </c:ext>
          </c:extLst>
        </c:ser>
        <c:ser>
          <c:idx val="1"/>
          <c:order val="1"/>
          <c:tx>
            <c:strRef>
              <c:f>'FinInd+CO2'!$A$57</c:f>
              <c:strCache>
                <c:ptCount val="1"/>
                <c:pt idx="0">
                  <c:v>Diskontovani prihodi,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'FinInd+CO2'!$E$62:$Y$62</c:f>
              <c:numCache>
                <c:formatCode>#,##0.00</c:formatCode>
                <c:ptCount val="21"/>
                <c:pt idx="1">
                  <c:v>57959.663915724472</c:v>
                </c:pt>
                <c:pt idx="2">
                  <c:v>114387.30526001554</c:v>
                </c:pt>
                <c:pt idx="3">
                  <c:v>169323.41931874637</c:v>
                </c:pt>
                <c:pt idx="4">
                  <c:v>222807.43098352282</c:v>
                </c:pt>
                <c:pt idx="5">
                  <c:v>274877.72304494912</c:v>
                </c:pt>
                <c:pt idx="6">
                  <c:v>325571.66373803024</c:v>
                </c:pt>
                <c:pt idx="7">
                  <c:v>374925.63355947839</c:v>
                </c:pt>
                <c:pt idx="8">
                  <c:v>422975.05137616955</c:v>
                </c:pt>
                <c:pt idx="9">
                  <c:v>469754.39984348626</c:v>
                </c:pt>
                <c:pt idx="10">
                  <c:v>515297.2501517887</c:v>
                </c:pt>
                <c:pt idx="11">
                  <c:v>559636.28611877293</c:v>
                </c:pt>
                <c:pt idx="12">
                  <c:v>602803.32764500636</c:v>
                </c:pt>
                <c:pt idx="13">
                  <c:v>644829.35354947299</c:v>
                </c:pt>
                <c:pt idx="14">
                  <c:v>685744.52380151721</c:v>
                </c:pt>
                <c:pt idx="15">
                  <c:v>725578.20116513956</c:v>
                </c:pt>
                <c:pt idx="16">
                  <c:v>764358.97227117908</c:v>
                </c:pt>
                <c:pt idx="17">
                  <c:v>802114.66813250305</c:v>
                </c:pt>
                <c:pt idx="18">
                  <c:v>838872.38411692798</c:v>
                </c:pt>
                <c:pt idx="19">
                  <c:v>874658.49939220527</c:v>
                </c:pt>
                <c:pt idx="20">
                  <c:v>909498.69585702568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568-4E6F-9F4F-6B6AF5948B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773696"/>
        <c:axId val="164591808"/>
      </c:lineChart>
      <c:catAx>
        <c:axId val="167773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591808"/>
        <c:crosses val="autoZero"/>
        <c:auto val="1"/>
        <c:lblAlgn val="ctr"/>
        <c:lblOffset val="100"/>
        <c:noMultiLvlLbl val="0"/>
      </c:catAx>
      <c:valAx>
        <c:axId val="164591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773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Uticaj promena na Neto sadašnju vrednost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#.##0_ ;[Red]\-#.##0\ </c:formatCode>
                <c:ptCount val="2"/>
                <c:pt idx="0">
                  <c:v>-85244.678629875183</c:v>
                </c:pt>
                <c:pt idx="1">
                  <c:v>-63223.502082494088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DC4-4C90-B894-C92309C9117F}"/>
            </c:ext>
          </c:extLst>
        </c:ser>
        <c:ser>
          <c:idx val="1"/>
          <c:order val="1"/>
          <c:tx>
            <c:strRef>
              <c:f>Osetljivost!$A$19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Osetljivost!$B$20:$B$21</c:f>
              <c:numCache>
                <c:formatCode>#.##0_ ;[Red]\-#.##0\ </c:formatCode>
                <c:ptCount val="2"/>
                <c:pt idx="0">
                  <c:v>-4948.5964351780085</c:v>
                </c:pt>
                <c:pt idx="1">
                  <c:v>-143519.58427719137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DC4-4C90-B894-C92309C9117F}"/>
            </c:ext>
          </c:extLst>
        </c:ser>
        <c:ser>
          <c:idx val="2"/>
          <c:order val="2"/>
          <c:tx>
            <c:strRef>
              <c:f>Osetljivost!$A$24</c:f>
              <c:strCache>
                <c:ptCount val="1"/>
                <c:pt idx="0">
                  <c:v>Stepen korisnosti postrojenja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Osetljivost!$B$25:$B$26</c:f>
              <c:numCache>
                <c:formatCode>#.##0_ ;[Red]\-#.##0\ </c:formatCode>
                <c:ptCount val="2"/>
                <c:pt idx="0">
                  <c:v>16836.875111395111</c:v>
                </c:pt>
                <c:pt idx="1">
                  <c:v>-165305.05582376389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628-4630-BADB-9B8ECEEB7D85}"/>
            </c:ext>
          </c:extLst>
        </c:ser>
        <c:ser>
          <c:idx val="3"/>
          <c:order val="3"/>
          <c:tx>
            <c:strRef>
              <c:f>Osetljivost!$A$29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Osetljivost!$B$30:$B$31</c:f>
              <c:numCache>
                <c:formatCode>#.##0_ ;[Red]\-#.##0\ </c:formatCode>
                <c:ptCount val="2"/>
                <c:pt idx="0">
                  <c:v>-235994.349121212</c:v>
                </c:pt>
                <c:pt idx="1">
                  <c:v>114168.06525369224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628-4630-BADB-9B8ECEEB7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306240"/>
        <c:axId val="223502336"/>
      </c:lineChart>
      <c:catAx>
        <c:axId val="22330624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2336"/>
        <c:crosses val="autoZero"/>
        <c:auto val="1"/>
        <c:lblAlgn val="ctr"/>
        <c:lblOffset val="100"/>
        <c:noMultiLvlLbl val="0"/>
      </c:catAx>
      <c:valAx>
        <c:axId val="223502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_ ;[Red]\-#.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306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69297152"/>
        <c:axId val="223508672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v>EBTDA diskontovano, kumulativno</c:v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val>
                  <c:numLit>
                    <c:formatCode>General</c:formatCode>
                    <c:ptCount val="21"/>
                    <c:pt idx="1">
                      <c:v>-127314.3846725547</c:v>
                    </c:pt>
                    <c:pt idx="2">
                      <c:v>-105377.81555243285</c:v>
                    </c:pt>
                    <c:pt idx="3">
                      <c:v>-83007.129023242771</c:v>
                    </c:pt>
                    <c:pt idx="4">
                      <c:v>-60191.472149757727</c:v>
                    </c:pt>
                    <c:pt idx="5">
                      <c:v>-36919.720673370408</c:v>
                    </c:pt>
                    <c:pt idx="6">
                      <c:v>-13180.472229008214</c:v>
                    </c:pt>
                    <c:pt idx="7">
                      <c:v>11037.960607528221</c:v>
                    </c:pt>
                    <c:pt idx="8">
                      <c:v>35747.55744604324</c:v>
                    </c:pt>
                    <c:pt idx="9">
                      <c:v>60960.597386586305</c:v>
                    </c:pt>
                    <c:pt idx="10">
                      <c:v>86173.637327129371</c:v>
                    </c:pt>
                    <c:pt idx="11">
                      <c:v>111386.67726767249</c:v>
                    </c:pt>
                    <c:pt idx="12">
                      <c:v>136599.71720821562</c:v>
                    </c:pt>
                    <c:pt idx="13">
                      <c:v>161812.75714875874</c:v>
                    </c:pt>
                    <c:pt idx="14">
                      <c:v>187025.79708930186</c:v>
                    </c:pt>
                    <c:pt idx="15">
                      <c:v>212238.83702984499</c:v>
                    </c:pt>
                    <c:pt idx="16">
                      <c:v>237451.87697038811</c:v>
                    </c:pt>
                    <c:pt idx="17">
                      <c:v>262664.91691093124</c:v>
                    </c:pt>
                    <c:pt idx="18">
                      <c:v>287877.95685147436</c:v>
                    </c:pt>
                    <c:pt idx="19">
                      <c:v>313090.99679201748</c:v>
                    </c:pt>
                    <c:pt idx="20">
                      <c:v>338304.03673256061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1-626D-486D-A338-CA87A6120273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6D-486D-A338-CA87A6120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69297152"/>
        <c:axId val="223508672"/>
        <c:extLst xmlns:c16r2="http://schemas.microsoft.com/office/drawing/2015/06/chart"/>
      </c:lineChart>
      <c:catAx>
        <c:axId val="69297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8672"/>
        <c:crosses val="autoZero"/>
        <c:auto val="1"/>
        <c:lblAlgn val="ctr"/>
        <c:lblOffset val="100"/>
        <c:noMultiLvlLbl val="0"/>
      </c:catAx>
      <c:valAx>
        <c:axId val="22350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9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L$21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85725</xdr:rowOff>
    </xdr:from>
    <xdr:to>
      <xdr:col>11</xdr:col>
      <xdr:colOff>533400</xdr:colOff>
      <xdr:row>8</xdr:row>
      <xdr:rowOff>94903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05625" y="857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07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39</xdr:row>
      <xdr:rowOff>180975</xdr:rowOff>
    </xdr:from>
    <xdr:to>
      <xdr:col>2</xdr:col>
      <xdr:colOff>523875</xdr:colOff>
      <xdr:row>41</xdr:row>
      <xdr:rowOff>190153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857375"/>
          <a:ext cx="438150" cy="390178"/>
        </a:xfrm>
        <a:prstGeom prst="rect">
          <a:avLst/>
        </a:prstGeom>
      </xdr:spPr>
    </xdr:pic>
    <xdr:clientData/>
  </xdr:twoCellAnchor>
  <xdr:twoCellAnchor>
    <xdr:from>
      <xdr:col>5</xdr:col>
      <xdr:colOff>180975</xdr:colOff>
      <xdr:row>16</xdr:row>
      <xdr:rowOff>166687</xdr:rowOff>
    </xdr:from>
    <xdr:to>
      <xdr:col>12</xdr:col>
      <xdr:colOff>485775</xdr:colOff>
      <xdr:row>31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3175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533400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00850" y="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9</xdr:row>
      <xdr:rowOff>180975</xdr:rowOff>
    </xdr:from>
    <xdr:to>
      <xdr:col>2</xdr:col>
      <xdr:colOff>523875</xdr:colOff>
      <xdr:row>11</xdr:row>
      <xdr:rowOff>190153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752475"/>
          <a:ext cx="438150" cy="390178"/>
        </a:xfrm>
        <a:prstGeom prst="rect">
          <a:avLst/>
        </a:prstGeom>
      </xdr:spPr>
    </xdr:pic>
    <xdr:clientData/>
  </xdr:twoCellAnchor>
  <xdr:twoCellAnchor>
    <xdr:from>
      <xdr:col>6</xdr:col>
      <xdr:colOff>19050</xdr:colOff>
      <xdr:row>9</xdr:row>
      <xdr:rowOff>19050</xdr:rowOff>
    </xdr:from>
    <xdr:to>
      <xdr:col>16</xdr:col>
      <xdr:colOff>581025</xdr:colOff>
      <xdr:row>29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533400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6" name="Picture 5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0</xdr:row>
      <xdr:rowOff>161925</xdr:rowOff>
    </xdr:from>
    <xdr:to>
      <xdr:col>8</xdr:col>
      <xdr:colOff>579120</xdr:colOff>
      <xdr:row>3</xdr:row>
      <xdr:rowOff>169545</xdr:rowOff>
    </xdr:to>
    <xdr:pic>
      <xdr:nvPicPr>
        <xdr:cNvPr id="7" name="Picture 6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619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13</xdr:row>
      <xdr:rowOff>0</xdr:rowOff>
    </xdr:from>
    <xdr:to>
      <xdr:col>15</xdr:col>
      <xdr:colOff>219075</xdr:colOff>
      <xdr:row>15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82325" y="15240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20</xdr:row>
          <xdr:rowOff>9525</xdr:rowOff>
        </xdr:from>
        <xdr:to>
          <xdr:col>9</xdr:col>
          <xdr:colOff>923925</xdr:colOff>
          <xdr:row>21</xdr:row>
          <xdr:rowOff>9525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15</xdr:col>
      <xdr:colOff>85725</xdr:colOff>
      <xdr:row>11</xdr:row>
      <xdr:rowOff>9525</xdr:rowOff>
    </xdr:from>
    <xdr:to>
      <xdr:col>15</xdr:col>
      <xdr:colOff>523875</xdr:colOff>
      <xdr:row>12</xdr:row>
      <xdr:rowOff>180628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10575" y="12287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3</xdr:col>
      <xdr:colOff>469900</xdr:colOff>
      <xdr:row>5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579120</xdr:colOff>
      <xdr:row>5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3810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0</xdr:rowOff>
    </xdr:from>
    <xdr:to>
      <xdr:col>10</xdr:col>
      <xdr:colOff>533400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166684</xdr:colOff>
      <xdr:row>6</xdr:row>
      <xdr:rowOff>23812</xdr:rowOff>
    </xdr:from>
    <xdr:to>
      <xdr:col>11</xdr:col>
      <xdr:colOff>604834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05809" y="1185862"/>
          <a:ext cx="438150" cy="39494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166684</xdr:colOff>
      <xdr:row>6</xdr:row>
      <xdr:rowOff>23812</xdr:rowOff>
    </xdr:from>
    <xdr:to>
      <xdr:col>11</xdr:col>
      <xdr:colOff>604834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74840" y="23812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3313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219075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oplotna%20pumpa%20velikog%20kapacite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EnergyCosts"/>
      <sheetName val="Annuity"/>
      <sheetName val="FinaIndicators"/>
      <sheetName val="FinInd+CO2"/>
      <sheetName val="Graph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>
        <row r="27">
          <cell r="L27">
            <v>6.0225656877897993E-2</v>
          </cell>
        </row>
      </sheetData>
      <sheetData sheetId="3"/>
      <sheetData sheetId="4">
        <row r="12">
          <cell r="J12">
            <v>4</v>
          </cell>
        </row>
        <row r="13">
          <cell r="J13">
            <v>0.9</v>
          </cell>
        </row>
        <row r="14">
          <cell r="J14">
            <v>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../AppData/Roaming/Microsoft/Excel/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>
      <selection activeCell="M5" sqref="M5"/>
    </sheetView>
  </sheetViews>
  <sheetFormatPr defaultRowHeight="15" x14ac:dyDescent="0.25"/>
  <sheetData>
    <row r="3" spans="2:18" ht="16.5" x14ac:dyDescent="0.35">
      <c r="F3" s="58" t="s">
        <v>176</v>
      </c>
      <c r="G3" s="58"/>
      <c r="H3" s="58"/>
      <c r="I3" s="58"/>
    </row>
    <row r="7" spans="2:18" x14ac:dyDescent="0.25">
      <c r="B7" s="59" t="s">
        <v>0</v>
      </c>
      <c r="C7" s="59"/>
      <c r="D7" s="59"/>
      <c r="E7" s="59"/>
      <c r="F7" s="59"/>
      <c r="G7" s="59"/>
      <c r="H7" s="59"/>
      <c r="I7" s="59"/>
      <c r="J7" s="59"/>
      <c r="K7" s="59"/>
    </row>
    <row r="8" spans="2:18" x14ac:dyDescent="0.25">
      <c r="B8" s="59"/>
      <c r="C8" s="59"/>
      <c r="D8" s="59"/>
      <c r="E8" s="59"/>
      <c r="F8" s="59"/>
      <c r="G8" s="59"/>
      <c r="H8" s="59"/>
      <c r="I8" s="59"/>
      <c r="J8" s="59"/>
      <c r="K8" s="59"/>
    </row>
    <row r="9" spans="2:18" x14ac:dyDescent="0.25">
      <c r="B9" s="59"/>
      <c r="C9" s="59"/>
      <c r="D9" s="59"/>
      <c r="E9" s="59"/>
      <c r="F9" s="59"/>
      <c r="G9" s="59"/>
      <c r="H9" s="59"/>
      <c r="I9" s="59"/>
      <c r="J9" s="59"/>
      <c r="K9" s="59"/>
      <c r="M9" s="60" t="s">
        <v>2</v>
      </c>
      <c r="N9" s="60"/>
      <c r="O9" s="60"/>
      <c r="P9" s="60"/>
      <c r="Q9" s="60"/>
      <c r="R9" s="60"/>
    </row>
    <row r="10" spans="2:18" x14ac:dyDescent="0.25">
      <c r="B10" s="59"/>
      <c r="C10" s="59"/>
      <c r="D10" s="59"/>
      <c r="E10" s="59"/>
      <c r="F10" s="59"/>
      <c r="G10" s="59"/>
      <c r="H10" s="59"/>
      <c r="I10" s="59"/>
      <c r="J10" s="59"/>
      <c r="K10" s="59"/>
      <c r="M10" s="60"/>
      <c r="N10" s="60"/>
      <c r="O10" s="60"/>
      <c r="P10" s="60"/>
      <c r="Q10" s="60"/>
      <c r="R10" s="60"/>
    </row>
    <row r="11" spans="2:18" x14ac:dyDescent="0.25">
      <c r="B11" s="59"/>
      <c r="C11" s="59"/>
      <c r="D11" s="59"/>
      <c r="E11" s="59"/>
      <c r="F11" s="59"/>
      <c r="G11" s="59"/>
      <c r="H11" s="59"/>
      <c r="I11" s="59"/>
      <c r="J11" s="59"/>
      <c r="K11" s="59"/>
    </row>
    <row r="12" spans="2:18" x14ac:dyDescent="0.25">
      <c r="B12" s="59"/>
      <c r="C12" s="59"/>
      <c r="D12" s="59"/>
      <c r="E12" s="59"/>
      <c r="F12" s="59"/>
      <c r="G12" s="59"/>
      <c r="H12" s="59"/>
      <c r="I12" s="59"/>
      <c r="J12" s="59"/>
      <c r="K12" s="59"/>
      <c r="M12" s="61" t="s">
        <v>45</v>
      </c>
      <c r="N12" s="61"/>
      <c r="O12" s="61"/>
      <c r="P12" s="61"/>
      <c r="Q12" s="61"/>
      <c r="R12" s="61"/>
    </row>
    <row r="13" spans="2:18" x14ac:dyDescent="0.25">
      <c r="B13" s="59"/>
      <c r="C13" s="59"/>
      <c r="D13" s="59"/>
      <c r="E13" s="59"/>
      <c r="F13" s="59"/>
      <c r="G13" s="59"/>
      <c r="H13" s="59"/>
      <c r="I13" s="59"/>
      <c r="J13" s="59"/>
      <c r="K13" s="59"/>
    </row>
    <row r="14" spans="2:18" x14ac:dyDescent="0.25">
      <c r="B14" s="59"/>
      <c r="C14" s="59"/>
      <c r="D14" s="59"/>
      <c r="E14" s="59"/>
      <c r="F14" s="59"/>
      <c r="G14" s="59"/>
      <c r="H14" s="59"/>
      <c r="I14" s="59"/>
      <c r="J14" s="59"/>
      <c r="K14" s="59"/>
      <c r="M14" s="62" t="s">
        <v>128</v>
      </c>
      <c r="N14" s="62"/>
      <c r="Q14" s="63" t="s">
        <v>129</v>
      </c>
      <c r="R14" s="63"/>
    </row>
    <row r="15" spans="2:18" x14ac:dyDescent="0.25">
      <c r="B15" s="59"/>
      <c r="C15" s="59"/>
      <c r="D15" s="59"/>
      <c r="E15" s="59"/>
      <c r="F15" s="59"/>
      <c r="G15" s="59"/>
      <c r="H15" s="59"/>
      <c r="I15" s="59"/>
      <c r="J15" s="59"/>
      <c r="K15" s="59"/>
      <c r="M15" s="62"/>
      <c r="N15" s="62"/>
      <c r="Q15" s="63"/>
      <c r="R15" s="63"/>
    </row>
    <row r="16" spans="2:18" x14ac:dyDescent="0.25">
      <c r="B16" s="59"/>
      <c r="C16" s="59"/>
      <c r="D16" s="59"/>
      <c r="E16" s="59"/>
      <c r="F16" s="59"/>
      <c r="G16" s="59"/>
      <c r="H16" s="59"/>
      <c r="I16" s="59"/>
      <c r="J16" s="59"/>
      <c r="K16" s="59"/>
    </row>
    <row r="17" spans="2:11" x14ac:dyDescent="0.25">
      <c r="B17" s="59"/>
      <c r="C17" s="59"/>
      <c r="D17" s="59"/>
      <c r="E17" s="59"/>
      <c r="F17" s="59"/>
      <c r="G17" s="59"/>
      <c r="H17" s="59"/>
      <c r="I17" s="59"/>
      <c r="J17" s="59"/>
      <c r="K17" s="59"/>
    </row>
    <row r="18" spans="2:11" x14ac:dyDescent="0.25">
      <c r="B18" s="59"/>
      <c r="C18" s="59"/>
      <c r="D18" s="59"/>
      <c r="E18" s="59"/>
      <c r="F18" s="59"/>
      <c r="G18" s="59"/>
      <c r="H18" s="59"/>
      <c r="I18" s="59"/>
      <c r="J18" s="59"/>
      <c r="K18" s="59"/>
    </row>
    <row r="19" spans="2:11" x14ac:dyDescent="0.25">
      <c r="B19" s="59"/>
      <c r="C19" s="59"/>
      <c r="D19" s="59"/>
      <c r="E19" s="59"/>
      <c r="F19" s="59"/>
      <c r="G19" s="59"/>
      <c r="H19" s="59"/>
      <c r="I19" s="59"/>
      <c r="J19" s="59"/>
      <c r="K19" s="59"/>
    </row>
    <row r="20" spans="2:11" x14ac:dyDescent="0.25">
      <c r="B20" s="59"/>
      <c r="C20" s="59"/>
      <c r="D20" s="59"/>
      <c r="E20" s="59"/>
      <c r="F20" s="59"/>
      <c r="G20" s="59"/>
      <c r="H20" s="59"/>
      <c r="I20" s="59"/>
      <c r="J20" s="59"/>
      <c r="K20" s="59"/>
    </row>
    <row r="21" spans="2:11" x14ac:dyDescent="0.25">
      <c r="B21" s="59"/>
      <c r="C21" s="59"/>
      <c r="D21" s="59"/>
      <c r="E21" s="59"/>
      <c r="F21" s="59"/>
      <c r="G21" s="59"/>
      <c r="H21" s="59"/>
      <c r="I21" s="59"/>
      <c r="J21" s="59"/>
      <c r="K21" s="59"/>
    </row>
    <row r="22" spans="2:11" x14ac:dyDescent="0.25">
      <c r="B22" s="59"/>
      <c r="C22" s="59"/>
      <c r="D22" s="59"/>
      <c r="E22" s="59"/>
      <c r="F22" s="59"/>
      <c r="G22" s="59"/>
      <c r="H22" s="59"/>
      <c r="I22" s="59"/>
      <c r="J22" s="59"/>
      <c r="K22" s="59"/>
    </row>
    <row r="23" spans="2:11" x14ac:dyDescent="0.25">
      <c r="B23" s="59"/>
      <c r="C23" s="59"/>
      <c r="D23" s="59"/>
      <c r="E23" s="59"/>
      <c r="F23" s="59"/>
      <c r="G23" s="59"/>
      <c r="H23" s="59"/>
      <c r="I23" s="59"/>
      <c r="J23" s="59"/>
      <c r="K23" s="59"/>
    </row>
    <row r="24" spans="2:11" x14ac:dyDescent="0.25">
      <c r="B24" s="59"/>
      <c r="C24" s="59"/>
      <c r="D24" s="59"/>
      <c r="E24" s="59"/>
      <c r="F24" s="59"/>
      <c r="G24" s="59"/>
      <c r="H24" s="59"/>
      <c r="I24" s="59"/>
      <c r="J24" s="59"/>
      <c r="K24" s="59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3:AB21"/>
  <sheetViews>
    <sheetView workbookViewId="0">
      <selection activeCell="F20" sqref="F20"/>
    </sheetView>
  </sheetViews>
  <sheetFormatPr defaultRowHeight="15" x14ac:dyDescent="0.25"/>
  <cols>
    <col min="6" max="6" width="10.7109375" customWidth="1"/>
  </cols>
  <sheetData>
    <row r="3" spans="1:28" ht="16.5" x14ac:dyDescent="0.35">
      <c r="F3" s="58" t="s">
        <v>176</v>
      </c>
      <c r="G3" s="58"/>
      <c r="H3" s="58"/>
      <c r="I3" s="58"/>
    </row>
    <row r="7" spans="1:28" x14ac:dyDescent="0.25">
      <c r="A7" s="78" t="s">
        <v>106</v>
      </c>
      <c r="B7" s="78"/>
      <c r="C7" s="78"/>
      <c r="D7" s="78"/>
      <c r="I7" s="62" t="s">
        <v>128</v>
      </c>
      <c r="J7" s="62"/>
      <c r="N7" s="63" t="s">
        <v>129</v>
      </c>
      <c r="O7" s="63"/>
    </row>
    <row r="8" spans="1:28" x14ac:dyDescent="0.25">
      <c r="A8" s="78"/>
      <c r="B8" s="78"/>
      <c r="C8" s="78"/>
      <c r="D8" s="78"/>
      <c r="I8" s="62"/>
      <c r="J8" s="62"/>
      <c r="N8" s="63"/>
      <c r="O8" s="63"/>
    </row>
    <row r="10" spans="1:28" x14ac:dyDescent="0.25">
      <c r="A10" s="67" t="s">
        <v>98</v>
      </c>
      <c r="B10" s="67"/>
      <c r="C10" s="67"/>
      <c r="D10" s="67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  <c r="Z10" s="18"/>
      <c r="AA10" s="18"/>
      <c r="AB10" s="18"/>
    </row>
    <row r="12" spans="1:28" x14ac:dyDescent="0.25">
      <c r="A12" s="68" t="s">
        <v>107</v>
      </c>
      <c r="B12" s="68"/>
      <c r="C12" s="68"/>
      <c r="D12" s="68"/>
      <c r="E12" s="3"/>
      <c r="F12" s="3">
        <f>Investment</f>
        <v>466000</v>
      </c>
    </row>
    <row r="13" spans="1:28" x14ac:dyDescent="0.25">
      <c r="A13" s="68" t="s">
        <v>108</v>
      </c>
      <c r="B13" s="68"/>
      <c r="C13" s="68"/>
      <c r="D13" s="68"/>
      <c r="F13" s="3">
        <f>IF(F10&lt;&gt;"",-('FinInd+CO2'!F31+'FinInd+CO2'!F25+'FinInd+CO2'!F36),"")</f>
        <v>88204.182039440784</v>
      </c>
      <c r="G13" s="3">
        <f>IF(G10&lt;&gt;"",-('FinInd+CO2'!G31+'FinInd+CO2'!G25+'FinInd+CO2'!G36),"")</f>
        <v>88792.258613570375</v>
      </c>
      <c r="H13" s="3">
        <f>IF(H10&lt;&gt;"",-('FinInd+CO2'!H31+'FinInd+CO2'!H25+'FinInd+CO2'!H36),"")</f>
        <v>89450.904376595514</v>
      </c>
      <c r="I13" s="3">
        <f>IF(I10&lt;&gt;"",-('FinInd+CO2'!I31+'FinInd+CO2'!I25+'FinInd+CO2'!I36),"")</f>
        <v>90188.587631183676</v>
      </c>
      <c r="J13" s="3">
        <f>IF(J10&lt;&gt;"",-('FinInd+CO2'!J31+'FinInd+CO2'!J25+'FinInd+CO2'!J36),"")</f>
        <v>91014.792876322404</v>
      </c>
      <c r="K13" s="3">
        <f>IF(K10&lt;&gt;"",-('FinInd+CO2'!K31+'FinInd+CO2'!K25+'FinInd+CO2'!K36),"")</f>
        <v>91940.1427508778</v>
      </c>
      <c r="L13" s="3">
        <f>IF(L10&lt;&gt;"",-('FinInd+CO2'!L31+'FinInd+CO2'!L25+'FinInd+CO2'!L36),"")</f>
        <v>92976.534610379837</v>
      </c>
      <c r="M13" s="3">
        <f>IF(M10&lt;&gt;"",-('FinInd+CO2'!M31+'FinInd+CO2'!M25+'FinInd+CO2'!M36),"")</f>
        <v>94137.293493022109</v>
      </c>
      <c r="N13" s="3">
        <f>IF(N10&lt;&gt;"",-('FinInd+CO2'!N31+'FinInd+CO2'!N25+'FinInd+CO2'!N36),"")</f>
        <v>95437.34344158147</v>
      </c>
      <c r="O13" s="3">
        <f>IF(O10&lt;&gt;"",-('FinInd+CO2'!O31+'FinInd+CO2'!O25+'FinInd+CO2'!O36),"")</f>
        <v>96893.399383967931</v>
      </c>
      <c r="P13" s="3">
        <f>IF(P10&lt;&gt;"",-('FinInd+CO2'!P31+'FinInd+CO2'!P25+'FinInd+CO2'!P36),"")</f>
        <v>68082.905803947608</v>
      </c>
      <c r="Q13" s="3">
        <f>IF(Q10&lt;&gt;"",-('FinInd+CO2'!Q31+'FinInd+CO2'!Q25+'FinInd+CO2'!Q36),"")</f>
        <v>68082.905803947608</v>
      </c>
      <c r="R13" s="3">
        <f>IF(R10&lt;&gt;"",-('FinInd+CO2'!R31+'FinInd+CO2'!R25+'FinInd+CO2'!R36),"")</f>
        <v>68082.905803947608</v>
      </c>
      <c r="S13" s="3">
        <f>IF(S10&lt;&gt;"",-('FinInd+CO2'!S31+'FinInd+CO2'!S25+'FinInd+CO2'!S36),"")</f>
        <v>68082.905803947608</v>
      </c>
      <c r="T13" s="3">
        <f>IF(T10&lt;&gt;"",-('FinInd+CO2'!T31+'FinInd+CO2'!T25+'FinInd+CO2'!T36),"")</f>
        <v>68082.905803947608</v>
      </c>
      <c r="U13" s="3">
        <f>IF(U10&lt;&gt;"",-('FinInd+CO2'!U31+'FinInd+CO2'!U25+'FinInd+CO2'!U36),"")</f>
        <v>68082.905803947608</v>
      </c>
      <c r="V13" s="3">
        <f>IF(V10&lt;&gt;"",-('FinInd+CO2'!V31+'FinInd+CO2'!V25+'FinInd+CO2'!V36),"")</f>
        <v>68082.905803947608</v>
      </c>
      <c r="W13" s="3">
        <f>IF(W10&lt;&gt;"",-('FinInd+CO2'!W31+'FinInd+CO2'!W25+'FinInd+CO2'!W36),"")</f>
        <v>68082.905803947608</v>
      </c>
      <c r="X13" s="3">
        <f>IF(X10&lt;&gt;"",-('FinInd+CO2'!X31+'FinInd+CO2'!X25+'FinInd+CO2'!X36),"")</f>
        <v>68082.905803947608</v>
      </c>
      <c r="Y13" s="3">
        <f>IF(Y10&lt;&gt;"",-('FinInd+CO2'!Y31+'FinInd+CO2'!Y25+'FinInd+CO2'!Y36),"")</f>
        <v>68082.905803947608</v>
      </c>
    </row>
    <row r="14" spans="1:28" x14ac:dyDescent="0.25">
      <c r="A14" s="68" t="s">
        <v>109</v>
      </c>
      <c r="B14" s="68"/>
      <c r="C14" s="68"/>
      <c r="D14" s="68"/>
      <c r="E14" s="3"/>
      <c r="F14" s="3">
        <f t="shared" ref="F14:Y14" si="0">IF(F10&lt;&gt;"",F12+F13,"")</f>
        <v>554204.18203944084</v>
      </c>
      <c r="G14" s="3">
        <f t="shared" si="0"/>
        <v>88792.258613570375</v>
      </c>
      <c r="H14" s="3">
        <f t="shared" si="0"/>
        <v>89450.904376595514</v>
      </c>
      <c r="I14" s="3">
        <f t="shared" si="0"/>
        <v>90188.587631183676</v>
      </c>
      <c r="J14" s="3">
        <f t="shared" si="0"/>
        <v>91014.792876322404</v>
      </c>
      <c r="K14" s="3">
        <f t="shared" si="0"/>
        <v>91940.1427508778</v>
      </c>
      <c r="L14" s="3">
        <f t="shared" si="0"/>
        <v>92976.534610379837</v>
      </c>
      <c r="M14" s="3">
        <f t="shared" si="0"/>
        <v>94137.293493022109</v>
      </c>
      <c r="N14" s="3">
        <f t="shared" si="0"/>
        <v>95437.34344158147</v>
      </c>
      <c r="O14" s="3">
        <f t="shared" si="0"/>
        <v>96893.399383967931</v>
      </c>
      <c r="P14" s="3">
        <f t="shared" si="0"/>
        <v>68082.905803947608</v>
      </c>
      <c r="Q14" s="3">
        <f t="shared" si="0"/>
        <v>68082.905803947608</v>
      </c>
      <c r="R14" s="3">
        <f t="shared" si="0"/>
        <v>68082.905803947608</v>
      </c>
      <c r="S14" s="3">
        <f t="shared" si="0"/>
        <v>68082.905803947608</v>
      </c>
      <c r="T14" s="3">
        <f t="shared" si="0"/>
        <v>68082.905803947608</v>
      </c>
      <c r="U14" s="3">
        <f t="shared" si="0"/>
        <v>68082.905803947608</v>
      </c>
      <c r="V14" s="3">
        <f t="shared" si="0"/>
        <v>68082.905803947608</v>
      </c>
      <c r="W14" s="3">
        <f t="shared" si="0"/>
        <v>68082.905803947608</v>
      </c>
      <c r="X14" s="3">
        <f t="shared" si="0"/>
        <v>68082.905803947608</v>
      </c>
      <c r="Y14" s="3">
        <f t="shared" si="0"/>
        <v>68082.905803947608</v>
      </c>
    </row>
    <row r="15" spans="1:28" x14ac:dyDescent="0.25">
      <c r="A15" s="69"/>
      <c r="B15" s="69"/>
      <c r="C15" s="69"/>
      <c r="D15" s="69"/>
    </row>
    <row r="16" spans="1:28" x14ac:dyDescent="0.25">
      <c r="A16" s="68" t="s">
        <v>89</v>
      </c>
      <c r="B16" s="68"/>
      <c r="C16" s="68"/>
      <c r="D16" s="68"/>
      <c r="F16" s="3">
        <f t="shared" ref="F16:Y16" si="1">+HEAT</f>
        <v>683.28</v>
      </c>
      <c r="G16" s="3">
        <f t="shared" si="1"/>
        <v>683.28</v>
      </c>
      <c r="H16" s="3">
        <f t="shared" si="1"/>
        <v>683.28</v>
      </c>
      <c r="I16" s="3">
        <f t="shared" si="1"/>
        <v>683.28</v>
      </c>
      <c r="J16" s="3">
        <f t="shared" si="1"/>
        <v>683.28</v>
      </c>
      <c r="K16" s="3">
        <f t="shared" si="1"/>
        <v>683.28</v>
      </c>
      <c r="L16" s="3">
        <f t="shared" si="1"/>
        <v>683.28</v>
      </c>
      <c r="M16" s="3">
        <f t="shared" si="1"/>
        <v>683.28</v>
      </c>
      <c r="N16" s="3">
        <f t="shared" si="1"/>
        <v>683.28</v>
      </c>
      <c r="O16" s="3">
        <f t="shared" si="1"/>
        <v>683.28</v>
      </c>
      <c r="P16" s="3">
        <f t="shared" si="1"/>
        <v>683.28</v>
      </c>
      <c r="Q16" s="3">
        <f t="shared" si="1"/>
        <v>683.28</v>
      </c>
      <c r="R16" s="3">
        <f t="shared" si="1"/>
        <v>683.28</v>
      </c>
      <c r="S16" s="3">
        <f t="shared" si="1"/>
        <v>683.28</v>
      </c>
      <c r="T16" s="3">
        <f t="shared" si="1"/>
        <v>683.28</v>
      </c>
      <c r="U16" s="3">
        <f t="shared" si="1"/>
        <v>683.28</v>
      </c>
      <c r="V16" s="3">
        <f t="shared" si="1"/>
        <v>683.28</v>
      </c>
      <c r="W16" s="3">
        <f t="shared" si="1"/>
        <v>683.28</v>
      </c>
      <c r="X16" s="3">
        <f t="shared" si="1"/>
        <v>683.28</v>
      </c>
      <c r="Y16" s="3">
        <f t="shared" si="1"/>
        <v>683.28</v>
      </c>
    </row>
    <row r="17" spans="1:25" ht="18" x14ac:dyDescent="0.35">
      <c r="A17" s="68" t="s">
        <v>99</v>
      </c>
      <c r="B17" s="68"/>
      <c r="C17" s="68"/>
      <c r="D17" s="68"/>
      <c r="F17" s="3">
        <f>IF(F10&lt;&gt;"",'FinInd+CO2'!F16,"")</f>
        <v>132.89796000000001</v>
      </c>
      <c r="G17" s="3">
        <f>IF(G10&lt;&gt;"",'FinInd+CO2'!G16,"")</f>
        <v>132.89796000000001</v>
      </c>
      <c r="H17" s="3">
        <f>IF(H10&lt;&gt;"",'FinInd+CO2'!H16,"")</f>
        <v>132.89796000000001</v>
      </c>
      <c r="I17" s="3">
        <f>IF(I10&lt;&gt;"",'FinInd+CO2'!I16,"")</f>
        <v>132.89796000000001</v>
      </c>
      <c r="J17" s="3">
        <f>IF(J10&lt;&gt;"",'FinInd+CO2'!J16,"")</f>
        <v>132.89796000000001</v>
      </c>
      <c r="K17" s="3">
        <f>IF(K10&lt;&gt;"",'FinInd+CO2'!K16,"")</f>
        <v>132.89796000000001</v>
      </c>
      <c r="L17" s="3">
        <f>IF(L10&lt;&gt;"",'FinInd+CO2'!L16,"")</f>
        <v>132.89796000000001</v>
      </c>
      <c r="M17" s="3">
        <f>IF(M10&lt;&gt;"",'FinInd+CO2'!M16,"")</f>
        <v>132.89796000000001</v>
      </c>
      <c r="N17" s="3">
        <f>IF(N10&lt;&gt;"",'FinInd+CO2'!N16,"")</f>
        <v>132.89796000000001</v>
      </c>
      <c r="O17" s="3">
        <f>IF(O10&lt;&gt;"",'FinInd+CO2'!O16,"")</f>
        <v>132.89796000000001</v>
      </c>
      <c r="P17" s="3">
        <f>IF(P10&lt;&gt;"",'FinInd+CO2'!P16,"")</f>
        <v>132.89796000000001</v>
      </c>
      <c r="Q17" s="3">
        <f>IF(Q10&lt;&gt;"",'FinInd+CO2'!Q16,"")</f>
        <v>132.89796000000001</v>
      </c>
      <c r="R17" s="3">
        <f>IF(R10&lt;&gt;"",'FinInd+CO2'!R16,"")</f>
        <v>132.89796000000001</v>
      </c>
      <c r="S17" s="3">
        <f>IF(S10&lt;&gt;"",'FinInd+CO2'!S16,"")</f>
        <v>132.89796000000001</v>
      </c>
      <c r="T17" s="3">
        <f>IF(T10&lt;&gt;"",'FinInd+CO2'!T16,"")</f>
        <v>132.89796000000001</v>
      </c>
      <c r="U17" s="3">
        <f>IF(U10&lt;&gt;"",'FinInd+CO2'!U16,"")</f>
        <v>132.89796000000001</v>
      </c>
      <c r="V17" s="3">
        <f>IF(V10&lt;&gt;"",'FinInd+CO2'!V16,"")</f>
        <v>132.89796000000001</v>
      </c>
      <c r="W17" s="3">
        <f>IF(W10&lt;&gt;"",'FinInd+CO2'!W16,"")</f>
        <v>132.89796000000001</v>
      </c>
      <c r="X17" s="3">
        <f>IF(X10&lt;&gt;"",'FinInd+CO2'!X16,"")</f>
        <v>132.89796000000001</v>
      </c>
      <c r="Y17" s="3">
        <f>IF(Y10&lt;&gt;"",'FinInd+CO2'!Y16,"")</f>
        <v>132.89796000000001</v>
      </c>
    </row>
    <row r="19" spans="1:25" x14ac:dyDescent="0.25">
      <c r="A19" s="67" t="s">
        <v>28</v>
      </c>
      <c r="B19" s="67"/>
      <c r="C19" s="67"/>
      <c r="D19" s="67"/>
      <c r="E19" s="3">
        <f>NPV(UnosPodataka!M19,LCoEE!F14:Y14)/NPV(UnosPodataka!M19,LCoEE!F16:Y16)</f>
        <v>177.68258231026707</v>
      </c>
    </row>
    <row r="20" spans="1:25" ht="18" x14ac:dyDescent="0.35">
      <c r="A20" s="67" t="s">
        <v>29</v>
      </c>
      <c r="B20" s="67"/>
      <c r="C20" s="67"/>
      <c r="D20" s="67"/>
      <c r="E20" s="23"/>
    </row>
    <row r="21" spans="1:25" x14ac:dyDescent="0.25">
      <c r="E21" s="6"/>
    </row>
  </sheetData>
  <sheetProtection selectLockedCells="1"/>
  <mergeCells count="13">
    <mergeCell ref="F3:I3"/>
    <mergeCell ref="I7:J8"/>
    <mergeCell ref="N7:O8"/>
    <mergeCell ref="A16:D16"/>
    <mergeCell ref="A17:D17"/>
    <mergeCell ref="A19:D19"/>
    <mergeCell ref="A20:D20"/>
    <mergeCell ref="A7:D8"/>
    <mergeCell ref="A10:D10"/>
    <mergeCell ref="A12:D12"/>
    <mergeCell ref="A13:D13"/>
    <mergeCell ref="A14:D14"/>
    <mergeCell ref="A15:D15"/>
  </mergeCells>
  <hyperlinks>
    <hyperlink ref="I7:J8" location="GrafEkon!A5" display="NAZAD"/>
    <hyperlink ref="N7:O8" location="SALCoEE!A1" display="DALJE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3:H42"/>
  <sheetViews>
    <sheetView workbookViewId="0">
      <selection activeCell="E31" sqref="E31"/>
    </sheetView>
  </sheetViews>
  <sheetFormatPr defaultRowHeight="15" x14ac:dyDescent="0.25"/>
  <cols>
    <col min="1" max="1" width="12" customWidth="1"/>
    <col min="2" max="2" width="10.7109375" customWidth="1"/>
    <col min="3" max="3" width="11.7109375" customWidth="1"/>
    <col min="4" max="4" width="11" customWidth="1"/>
  </cols>
  <sheetData>
    <row r="3" spans="1:8" ht="16.5" x14ac:dyDescent="0.35">
      <c r="E3" s="58" t="s">
        <v>176</v>
      </c>
      <c r="F3" s="58"/>
      <c r="G3" s="58"/>
      <c r="H3" s="58"/>
    </row>
    <row r="7" spans="1:8" ht="21" x14ac:dyDescent="0.35">
      <c r="A7" s="65" t="s">
        <v>110</v>
      </c>
      <c r="B7" s="65"/>
      <c r="C7" s="65"/>
      <c r="D7" s="65"/>
    </row>
    <row r="8" spans="1:8" ht="15.75" thickBot="1" x14ac:dyDescent="0.3"/>
    <row r="9" spans="1:8" ht="15.75" thickBot="1" x14ac:dyDescent="0.3">
      <c r="B9" s="38" t="s">
        <v>179</v>
      </c>
      <c r="C9" s="39"/>
    </row>
    <row r="10" spans="1:8" ht="15.75" thickBot="1" x14ac:dyDescent="0.3">
      <c r="B10" s="40" t="s">
        <v>170</v>
      </c>
      <c r="C10" s="40" t="s">
        <v>171</v>
      </c>
    </row>
    <row r="12" spans="1:8" x14ac:dyDescent="0.25">
      <c r="A12" s="41" t="s">
        <v>172</v>
      </c>
      <c r="B12" s="42">
        <v>-74234.090356184664</v>
      </c>
      <c r="C12" s="43">
        <v>1.108391094659833E-2</v>
      </c>
    </row>
    <row r="14" spans="1:8" x14ac:dyDescent="0.25">
      <c r="A14" s="41" t="s">
        <v>75</v>
      </c>
    </row>
    <row r="15" spans="1:8" x14ac:dyDescent="0.25">
      <c r="A15" s="20">
        <v>0.1</v>
      </c>
      <c r="B15" s="42">
        <v>-85244.678629875183</v>
      </c>
      <c r="C15" s="43">
        <v>8.5943150111591482E-3</v>
      </c>
    </row>
    <row r="16" spans="1:8" x14ac:dyDescent="0.25">
      <c r="A16" s="20">
        <v>-0.1</v>
      </c>
      <c r="B16" s="42">
        <v>-63223.502082494088</v>
      </c>
      <c r="C16" s="43">
        <v>1.3543637810855103E-2</v>
      </c>
    </row>
    <row r="17" spans="1:3" x14ac:dyDescent="0.25">
      <c r="A17" t="s">
        <v>173</v>
      </c>
      <c r="B17" s="32">
        <v>-0.67420000000000002</v>
      </c>
      <c r="C17" s="32"/>
    </row>
    <row r="19" spans="1:3" x14ac:dyDescent="0.25">
      <c r="A19" s="41" t="s">
        <v>174</v>
      </c>
    </row>
    <row r="20" spans="1:3" x14ac:dyDescent="0.25">
      <c r="A20" s="20">
        <v>0.1</v>
      </c>
      <c r="B20" s="42">
        <v>-4948.5964351780085</v>
      </c>
      <c r="C20" s="43">
        <v>2.6114273457935822E-2</v>
      </c>
    </row>
    <row r="21" spans="1:3" x14ac:dyDescent="0.25">
      <c r="A21" s="20">
        <v>-0.1</v>
      </c>
      <c r="B21" s="42">
        <v>-143519.58427719137</v>
      </c>
      <c r="C21" s="43">
        <v>-5.1402489096370463E-3</v>
      </c>
    </row>
    <row r="22" spans="1:3" x14ac:dyDescent="0.25">
      <c r="A22" t="s">
        <v>173</v>
      </c>
      <c r="B22" s="32">
        <v>0.1072</v>
      </c>
      <c r="C22" s="32"/>
    </row>
    <row r="24" spans="1:3" x14ac:dyDescent="0.25">
      <c r="A24" s="41" t="s">
        <v>122</v>
      </c>
    </row>
    <row r="25" spans="1:3" x14ac:dyDescent="0.25">
      <c r="A25" s="20">
        <v>0.1</v>
      </c>
      <c r="B25" s="42">
        <v>16836.875111395111</v>
      </c>
      <c r="C25" s="43">
        <v>3.0641427409148658E-2</v>
      </c>
    </row>
    <row r="26" spans="1:3" x14ac:dyDescent="0.25">
      <c r="A26" s="20">
        <v>-0.1</v>
      </c>
      <c r="B26" s="42">
        <v>-165305.05582376389</v>
      </c>
      <c r="C26" s="43">
        <v>-1.0550740809937786E-2</v>
      </c>
    </row>
    <row r="27" spans="1:3" x14ac:dyDescent="0.25">
      <c r="A27" t="s">
        <v>173</v>
      </c>
      <c r="B27" s="32">
        <v>8.1500000000000003E-2</v>
      </c>
      <c r="C27" s="32"/>
    </row>
    <row r="28" spans="1:3" x14ac:dyDescent="0.25">
      <c r="B28" s="32"/>
      <c r="C28" s="32"/>
    </row>
    <row r="29" spans="1:3" x14ac:dyDescent="0.25">
      <c r="A29" s="41" t="s">
        <v>175</v>
      </c>
      <c r="B29" s="32"/>
      <c r="C29" s="32"/>
    </row>
    <row r="30" spans="1:3" x14ac:dyDescent="0.25">
      <c r="A30" s="20">
        <v>0.1</v>
      </c>
      <c r="B30" s="42">
        <v>-235994.349121212</v>
      </c>
      <c r="C30" s="43">
        <v>-1.4661879916962883E-2</v>
      </c>
    </row>
    <row r="31" spans="1:3" x14ac:dyDescent="0.25">
      <c r="A31" s="20">
        <v>-0.1</v>
      </c>
      <c r="B31" s="42">
        <v>114168.06525369224</v>
      </c>
      <c r="C31" s="43">
        <v>4.1761835502710065E-2</v>
      </c>
    </row>
    <row r="32" spans="1:3" x14ac:dyDescent="0.25">
      <c r="A32" t="s">
        <v>173</v>
      </c>
      <c r="B32" s="32">
        <v>-4.1500000000000002E-2</v>
      </c>
      <c r="C32" s="32"/>
    </row>
    <row r="34" spans="1:5" x14ac:dyDescent="0.25">
      <c r="B34" s="42">
        <f>+'FinInd+CO2'!$E$46</f>
        <v>-16008.196830246372</v>
      </c>
      <c r="C34" s="43">
        <f>+'FinInd+CO2'!$E$47</f>
        <v>2.378225997727923E-2</v>
      </c>
    </row>
    <row r="41" spans="1:5" x14ac:dyDescent="0.25">
      <c r="A41" s="62" t="s">
        <v>128</v>
      </c>
      <c r="B41" s="62"/>
      <c r="D41" s="79" t="s">
        <v>129</v>
      </c>
      <c r="E41" s="79"/>
    </row>
    <row r="42" spans="1:5" x14ac:dyDescent="0.25">
      <c r="A42" s="62"/>
      <c r="B42" s="62"/>
      <c r="D42" s="79"/>
      <c r="E42" s="79"/>
    </row>
  </sheetData>
  <sheetProtection selectLockedCells="1"/>
  <mergeCells count="4">
    <mergeCell ref="A41:B42"/>
    <mergeCell ref="D41:E42"/>
    <mergeCell ref="A7:D7"/>
    <mergeCell ref="E3:H3"/>
  </mergeCells>
  <hyperlinks>
    <hyperlink ref="D41:E42" location="AkoESCO!A1" display="DALJE"/>
    <hyperlink ref="A41:B42" location="LCoEE!I1" display="NAZAD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3:Y16"/>
  <sheetViews>
    <sheetView workbookViewId="0">
      <selection activeCell="I4" sqref="I4"/>
    </sheetView>
  </sheetViews>
  <sheetFormatPr defaultRowHeight="15" x14ac:dyDescent="0.25"/>
  <cols>
    <col min="5" max="5" width="11.140625" customWidth="1"/>
  </cols>
  <sheetData>
    <row r="3" spans="1:25" ht="16.5" x14ac:dyDescent="0.35">
      <c r="F3" s="58" t="s">
        <v>176</v>
      </c>
      <c r="G3" s="58"/>
      <c r="H3" s="58"/>
      <c r="I3" s="58"/>
    </row>
    <row r="7" spans="1:25" ht="18.75" x14ac:dyDescent="0.3">
      <c r="A7" s="60" t="s">
        <v>130</v>
      </c>
      <c r="B7" s="60"/>
      <c r="C7" s="60"/>
      <c r="D7" s="60"/>
      <c r="I7" s="76" t="s">
        <v>128</v>
      </c>
      <c r="J7" s="76"/>
      <c r="N7" s="77" t="s">
        <v>129</v>
      </c>
      <c r="O7" s="77"/>
    </row>
    <row r="8" spans="1:25" x14ac:dyDescent="0.25">
      <c r="A8" s="60"/>
      <c r="B8" s="60"/>
      <c r="C8" s="60"/>
      <c r="D8" s="60"/>
    </row>
    <row r="10" spans="1:25" x14ac:dyDescent="0.25">
      <c r="A10" s="67" t="s">
        <v>98</v>
      </c>
      <c r="B10" s="67"/>
      <c r="C10" s="67"/>
      <c r="D10" s="67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</row>
    <row r="12" spans="1:25" x14ac:dyDescent="0.25">
      <c r="A12" s="68" t="s">
        <v>131</v>
      </c>
      <c r="B12" s="68"/>
      <c r="C12" s="68"/>
      <c r="D12" s="68"/>
      <c r="E12" s="3">
        <v>0</v>
      </c>
      <c r="F12" s="3" t="e">
        <f>IF(F10&lt;&gt;"",-#REF!,"")</f>
        <v>#REF!</v>
      </c>
      <c r="G12" s="3" t="e">
        <f>IF(G10&lt;&gt;"",-#REF!,"")</f>
        <v>#REF!</v>
      </c>
      <c r="H12" s="3" t="e">
        <f>IF(H10&lt;&gt;"",-#REF!,"")</f>
        <v>#REF!</v>
      </c>
      <c r="I12" s="3" t="e">
        <f>IF(I10&lt;&gt;"",-#REF!,"")</f>
        <v>#REF!</v>
      </c>
      <c r="J12" s="3" t="e">
        <f>IF(J10&lt;&gt;"",-#REF!,"")</f>
        <v>#REF!</v>
      </c>
      <c r="K12" s="3" t="e">
        <f>IF(K10&lt;&gt;"",-#REF!,"")</f>
        <v>#REF!</v>
      </c>
      <c r="L12" s="3" t="e">
        <f>IF(L10&lt;&gt;"",-#REF!,"")</f>
        <v>#REF!</v>
      </c>
      <c r="M12" s="3" t="e">
        <f>IF(M10&lt;&gt;"",-#REF!,"")</f>
        <v>#REF!</v>
      </c>
      <c r="N12" s="3" t="e">
        <f>IF(N10&lt;&gt;"",-#REF!,"")</f>
        <v>#REF!</v>
      </c>
      <c r="O12" s="3" t="e">
        <f>IF(O10&lt;&gt;"",-#REF!,"")</f>
        <v>#REF!</v>
      </c>
      <c r="P12" s="3" t="e">
        <f>IF(P10&lt;&gt;"",-#REF!,"")</f>
        <v>#REF!</v>
      </c>
      <c r="Q12" s="3" t="e">
        <f>IF(Q10&lt;&gt;"",-#REF!,"")</f>
        <v>#REF!</v>
      </c>
      <c r="R12" s="3" t="e">
        <f>IF(R10&lt;&gt;"",-#REF!,"")</f>
        <v>#REF!</v>
      </c>
      <c r="S12" s="3" t="e">
        <f>IF(S10&lt;&gt;"",-#REF!,"")</f>
        <v>#REF!</v>
      </c>
      <c r="T12" s="3" t="e">
        <f>IF(T10&lt;&gt;"",-#REF!,"")</f>
        <v>#REF!</v>
      </c>
      <c r="U12" s="3" t="e">
        <f>IF(U10&lt;&gt;"",-#REF!,"")</f>
        <v>#REF!</v>
      </c>
      <c r="V12" s="3" t="e">
        <f>IF(V10&lt;&gt;"",-#REF!,"")</f>
        <v>#REF!</v>
      </c>
      <c r="W12" s="3" t="e">
        <f>IF(W10&lt;&gt;"",-#REF!,"")</f>
        <v>#REF!</v>
      </c>
      <c r="X12" s="3" t="e">
        <f>IF(X10&lt;&gt;"",-#REF!,"")</f>
        <v>#REF!</v>
      </c>
      <c r="Y12" s="3" t="e">
        <f>IF(Y10&lt;&gt;"",-#REF!,"")</f>
        <v>#REF!</v>
      </c>
    </row>
    <row r="13" spans="1:25" x14ac:dyDescent="0.25">
      <c r="A13" s="68" t="s">
        <v>132</v>
      </c>
      <c r="B13" s="68"/>
      <c r="C13" s="68"/>
      <c r="D13" s="68"/>
      <c r="E13" s="3">
        <v>0</v>
      </c>
      <c r="F13" s="3" t="e">
        <f>IF(F10&lt;&gt;"",F12*(1+UnosPodataka!$M$19)^(-F10),"")</f>
        <v>#REF!</v>
      </c>
      <c r="G13" s="3" t="e">
        <f>IF(G10&lt;&gt;"",G12*(1+UnosPodataka!$M$19)^(-G10),"")</f>
        <v>#REF!</v>
      </c>
      <c r="H13" s="3" t="e">
        <f>IF(H10&lt;&gt;"",H12*(1+UnosPodataka!$M$19)^(-H10),"")</f>
        <v>#REF!</v>
      </c>
      <c r="I13" s="3" t="e">
        <f>IF(I10&lt;&gt;"",I12*(1+UnosPodataka!$M$19)^(-I10),"")</f>
        <v>#REF!</v>
      </c>
      <c r="J13" s="3" t="e">
        <f>IF(J10&lt;&gt;"",J12*(1+UnosPodataka!$M$19)^(-J10),"")</f>
        <v>#REF!</v>
      </c>
      <c r="K13" s="3" t="e">
        <f>IF(K10&lt;&gt;"",K12*(1+UnosPodataka!$M$19)^(-K10),"")</f>
        <v>#REF!</v>
      </c>
      <c r="L13" s="3" t="e">
        <f>IF(L10&lt;&gt;"",L12*(1+UnosPodataka!$M$19)^(-L10),"")</f>
        <v>#REF!</v>
      </c>
      <c r="M13" s="3" t="e">
        <f>IF(M10&lt;&gt;"",M12*(1+UnosPodataka!$M$19)^(-M10),"")</f>
        <v>#REF!</v>
      </c>
      <c r="N13" s="3" t="e">
        <f>IF(N10&lt;&gt;"",N12*(1+UnosPodataka!$M$19)^(-N10),"")</f>
        <v>#REF!</v>
      </c>
      <c r="O13" s="3" t="e">
        <f>IF(O10&lt;&gt;"",O12*(1+UnosPodataka!$M$19)^(-O10),"")</f>
        <v>#REF!</v>
      </c>
      <c r="P13" s="3" t="e">
        <f>IF(P10&lt;&gt;"",P12*(1+UnosPodataka!$M$19)^(-P10),"")</f>
        <v>#REF!</v>
      </c>
      <c r="Q13" s="3" t="e">
        <f>IF(Q10&lt;&gt;"",Q12*(1+UnosPodataka!$M$19)^(-Q10),"")</f>
        <v>#REF!</v>
      </c>
      <c r="R13" s="3" t="e">
        <f>IF(R10&lt;&gt;"",R12*(1+UnosPodataka!$M$19)^(-R10),"")</f>
        <v>#REF!</v>
      </c>
      <c r="S13" s="3" t="e">
        <f>IF(S10&lt;&gt;"",S12*(1+UnosPodataka!$M$19)^(-S10),"")</f>
        <v>#REF!</v>
      </c>
      <c r="T13" s="3" t="e">
        <f>IF(T10&lt;&gt;"",T12*(1+UnosPodataka!$M$19)^(-T10),"")</f>
        <v>#REF!</v>
      </c>
      <c r="U13" s="3" t="e">
        <f>IF(U10&lt;&gt;"",U12*(1+UnosPodataka!$M$19)^(-U10),"")</f>
        <v>#REF!</v>
      </c>
      <c r="V13" s="3" t="e">
        <f>IF(V10&lt;&gt;"",V12*(1+UnosPodataka!$M$19)^(-V10),"")</f>
        <v>#REF!</v>
      </c>
      <c r="W13" s="3" t="e">
        <f>IF(W10&lt;&gt;"",W12*(1+UnosPodataka!$M$19)^(-W10),"")</f>
        <v>#REF!</v>
      </c>
      <c r="X13" s="3" t="e">
        <f>IF(X10&lt;&gt;"",X12*(1+UnosPodataka!$M$19)^(-X10),"")</f>
        <v>#REF!</v>
      </c>
      <c r="Y13" s="3" t="e">
        <f>IF(Y10&lt;&gt;"",Y12*(1+UnosPodataka!$M$19)^(-Y10),"")</f>
        <v>#REF!</v>
      </c>
    </row>
    <row r="15" spans="1:25" x14ac:dyDescent="0.25">
      <c r="A15" s="67" t="s">
        <v>26</v>
      </c>
      <c r="B15" s="67"/>
      <c r="C15" s="67"/>
      <c r="D15" s="67"/>
      <c r="E15" s="19" t="e">
        <f>NPV(UnosPodataka!M19,AkoESCO!E12:Y12)</f>
        <v>#REF!</v>
      </c>
    </row>
    <row r="16" spans="1:25" x14ac:dyDescent="0.25">
      <c r="A16" s="67" t="s">
        <v>27</v>
      </c>
      <c r="B16" s="67"/>
      <c r="C16" s="67"/>
      <c r="D16" s="67"/>
      <c r="E16" s="6" t="s">
        <v>133</v>
      </c>
    </row>
  </sheetData>
  <mergeCells count="9">
    <mergeCell ref="N7:O7"/>
    <mergeCell ref="A7:D8"/>
    <mergeCell ref="A10:D10"/>
    <mergeCell ref="A12:D12"/>
    <mergeCell ref="F3:I3"/>
    <mergeCell ref="A13:D13"/>
    <mergeCell ref="A15:D15"/>
    <mergeCell ref="A16:D16"/>
    <mergeCell ref="I7:J7"/>
  </mergeCells>
  <hyperlinks>
    <hyperlink ref="I7:J7" location="SALCoEE!A10" display="NAZAD"/>
    <hyperlink ref="N7:O7" location="ESCOGrafFina!A1" display="DALJE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3:I12"/>
  <sheetViews>
    <sheetView workbookViewId="0">
      <selection activeCell="I6" sqref="I6"/>
    </sheetView>
  </sheetViews>
  <sheetFormatPr defaultRowHeight="15" x14ac:dyDescent="0.25"/>
  <sheetData>
    <row r="3" spans="1:9" ht="16.5" x14ac:dyDescent="0.35">
      <c r="F3" s="58" t="s">
        <v>176</v>
      </c>
      <c r="G3" s="58"/>
      <c r="H3" s="58"/>
      <c r="I3" s="58"/>
    </row>
    <row r="7" spans="1:9" x14ac:dyDescent="0.25">
      <c r="A7" s="60" t="s">
        <v>105</v>
      </c>
      <c r="B7" s="60"/>
      <c r="C7" s="60"/>
      <c r="D7" s="60"/>
    </row>
    <row r="8" spans="1:9" x14ac:dyDescent="0.25">
      <c r="A8" s="60"/>
      <c r="B8" s="60"/>
      <c r="C8" s="60"/>
      <c r="D8" s="60"/>
    </row>
    <row r="9" spans="1:9" x14ac:dyDescent="0.25">
      <c r="A9" s="60"/>
      <c r="B9" s="60"/>
      <c r="C9" s="60"/>
      <c r="D9" s="60"/>
    </row>
    <row r="11" spans="1:9" x14ac:dyDescent="0.25">
      <c r="A11" s="62" t="s">
        <v>128</v>
      </c>
      <c r="B11" s="62"/>
      <c r="D11" s="63" t="s">
        <v>129</v>
      </c>
      <c r="E11" s="63"/>
    </row>
    <row r="12" spans="1:9" x14ac:dyDescent="0.25">
      <c r="A12" s="62"/>
      <c r="B12" s="62"/>
      <c r="D12" s="63"/>
      <c r="E12" s="63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3:I21"/>
  <sheetViews>
    <sheetView tabSelected="1" workbookViewId="0">
      <selection activeCell="Q25" sqref="Q25"/>
    </sheetView>
  </sheetViews>
  <sheetFormatPr defaultRowHeight="15" x14ac:dyDescent="0.25"/>
  <sheetData>
    <row r="3" spans="1:9" ht="16.5" x14ac:dyDescent="0.35">
      <c r="F3" s="58" t="s">
        <v>176</v>
      </c>
      <c r="G3" s="58"/>
      <c r="H3" s="58"/>
      <c r="I3" s="58"/>
    </row>
    <row r="7" spans="1:9" x14ac:dyDescent="0.25">
      <c r="A7" s="60" t="s">
        <v>134</v>
      </c>
      <c r="B7" s="60"/>
      <c r="C7" s="60"/>
      <c r="D7" s="60"/>
    </row>
    <row r="8" spans="1:9" x14ac:dyDescent="0.25">
      <c r="A8" s="60"/>
      <c r="B8" s="60"/>
      <c r="C8" s="60"/>
      <c r="D8" s="60"/>
    </row>
    <row r="9" spans="1:9" x14ac:dyDescent="0.25">
      <c r="B9" s="67" t="s">
        <v>50</v>
      </c>
      <c r="C9" s="67"/>
      <c r="D9" s="67"/>
      <c r="E9" s="69" t="str">
        <f>PROJEKAT</f>
        <v>Termal-solar velikog kapaciteta</v>
      </c>
      <c r="F9" s="69"/>
      <c r="G9" s="69"/>
      <c r="H9" s="69"/>
      <c r="I9" s="69"/>
    </row>
    <row r="10" spans="1:9" x14ac:dyDescent="0.25">
      <c r="B10" s="67" t="s">
        <v>135</v>
      </c>
      <c r="C10" s="67"/>
      <c r="D10" s="67"/>
      <c r="E10" s="81">
        <f>Investment</f>
        <v>466000</v>
      </c>
      <c r="F10" s="81"/>
      <c r="G10" s="81"/>
      <c r="H10" s="81"/>
      <c r="I10" s="81"/>
    </row>
    <row r="11" spans="1:9" x14ac:dyDescent="0.25">
      <c r="B11" s="67" t="s">
        <v>136</v>
      </c>
      <c r="C11" s="67"/>
      <c r="D11" s="67"/>
      <c r="E11" s="81">
        <f>Investment-Equity-Loan</f>
        <v>340000</v>
      </c>
      <c r="F11" s="69"/>
      <c r="G11" s="69"/>
      <c r="H11" s="69"/>
      <c r="I11" s="69"/>
    </row>
    <row r="12" spans="1:9" x14ac:dyDescent="0.25">
      <c r="B12" s="67" t="s">
        <v>88</v>
      </c>
      <c r="C12" s="67"/>
      <c r="D12" s="67"/>
      <c r="E12" s="81">
        <f>Equity</f>
        <v>40000</v>
      </c>
      <c r="F12" s="81"/>
      <c r="G12" s="81"/>
      <c r="H12" s="81"/>
      <c r="I12" s="81"/>
    </row>
    <row r="13" spans="1:9" x14ac:dyDescent="0.25">
      <c r="B13" s="67" t="s">
        <v>87</v>
      </c>
      <c r="C13" s="67"/>
      <c r="D13" s="67"/>
      <c r="E13" s="81">
        <f>Loan</f>
        <v>86000</v>
      </c>
      <c r="F13" s="81"/>
      <c r="G13" s="81"/>
      <c r="H13" s="81"/>
      <c r="I13" s="81"/>
    </row>
    <row r="14" spans="1:9" x14ac:dyDescent="0.25">
      <c r="B14" s="67" t="s">
        <v>137</v>
      </c>
      <c r="C14" s="67"/>
      <c r="D14" s="67"/>
      <c r="E14" s="81">
        <f>LCoE</f>
        <v>177.68258231026707</v>
      </c>
      <c r="F14" s="81"/>
      <c r="G14" s="81"/>
      <c r="H14" s="81"/>
      <c r="I14" s="81"/>
    </row>
    <row r="15" spans="1:9" ht="18" x14ac:dyDescent="0.35">
      <c r="B15" s="80" t="s">
        <v>200</v>
      </c>
      <c r="C15" s="80"/>
      <c r="D15" s="80"/>
      <c r="E15" s="81">
        <f>+'FinInd+CO2'!E46</f>
        <v>-16008.196830246372</v>
      </c>
      <c r="F15" s="81"/>
      <c r="G15" s="81"/>
      <c r="H15" s="81"/>
      <c r="I15" s="81"/>
    </row>
    <row r="16" spans="1:9" ht="18" x14ac:dyDescent="0.35">
      <c r="B16" s="80" t="s">
        <v>201</v>
      </c>
      <c r="C16" s="80"/>
      <c r="D16" s="80"/>
      <c r="E16" s="82">
        <f>+'FinInd+CO2'!E47</f>
        <v>2.378225997727923E-2</v>
      </c>
      <c r="F16" s="82"/>
      <c r="G16" s="82"/>
      <c r="H16" s="82"/>
      <c r="I16" s="82"/>
    </row>
    <row r="17" spans="2:9" x14ac:dyDescent="0.25">
      <c r="E17" s="83"/>
      <c r="F17" s="69"/>
      <c r="G17" s="69"/>
      <c r="H17" s="69"/>
      <c r="I17" s="69"/>
    </row>
    <row r="18" spans="2:9" x14ac:dyDescent="0.25">
      <c r="E18" s="69"/>
      <c r="F18" s="69"/>
      <c r="G18" s="69"/>
      <c r="H18" s="69"/>
      <c r="I18" s="69"/>
    </row>
    <row r="20" spans="2:9" x14ac:dyDescent="0.25">
      <c r="B20" s="62" t="s">
        <v>128</v>
      </c>
      <c r="C20" s="62"/>
    </row>
    <row r="21" spans="2:9" x14ac:dyDescent="0.25">
      <c r="B21" s="62"/>
      <c r="C21" s="62"/>
    </row>
  </sheetData>
  <mergeCells count="21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/>
  </hyperlinks>
  <pageMargins left="0.7" right="0.7" top="0.75" bottom="0.75" header="0.3" footer="0.3"/>
  <pageSetup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G15" sqref="G15"/>
    </sheetView>
  </sheetViews>
  <sheetFormatPr defaultRowHeight="15" x14ac:dyDescent="0.25"/>
  <cols>
    <col min="2" max="2" width="25.28515625" customWidth="1"/>
  </cols>
  <sheetData>
    <row r="7" spans="2:3" ht="21" x14ac:dyDescent="0.35">
      <c r="B7" s="56" t="s">
        <v>190</v>
      </c>
    </row>
    <row r="8" spans="2:3" ht="18" x14ac:dyDescent="0.35">
      <c r="C8" s="49" t="s">
        <v>191</v>
      </c>
    </row>
    <row r="9" spans="2:3" x14ac:dyDescent="0.25">
      <c r="B9" t="s">
        <v>20</v>
      </c>
      <c r="C9" s="8">
        <v>0.4</v>
      </c>
    </row>
    <row r="10" spans="2:3" x14ac:dyDescent="0.25">
      <c r="B10" t="s">
        <v>19</v>
      </c>
      <c r="C10" s="8">
        <v>0.33</v>
      </c>
    </row>
    <row r="11" spans="2:3" x14ac:dyDescent="0.25">
      <c r="B11" t="s">
        <v>192</v>
      </c>
      <c r="C11" s="8">
        <v>0.34</v>
      </c>
    </row>
    <row r="12" spans="2:3" x14ac:dyDescent="0.25">
      <c r="B12" t="s">
        <v>193</v>
      </c>
      <c r="C12" s="8">
        <v>0.27</v>
      </c>
    </row>
    <row r="13" spans="2:3" x14ac:dyDescent="0.25">
      <c r="B13" t="s">
        <v>16</v>
      </c>
      <c r="C13" s="8">
        <v>0.28000000000000003</v>
      </c>
    </row>
    <row r="14" spans="2:3" x14ac:dyDescent="0.25">
      <c r="B14" t="s">
        <v>13</v>
      </c>
      <c r="C14" s="8">
        <v>0.2</v>
      </c>
    </row>
    <row r="15" spans="2:3" x14ac:dyDescent="0.25">
      <c r="B15" t="s">
        <v>194</v>
      </c>
      <c r="C15" s="8">
        <v>0.22</v>
      </c>
    </row>
    <row r="16" spans="2:3" x14ac:dyDescent="0.25">
      <c r="B16" t="s">
        <v>195</v>
      </c>
      <c r="C16" s="8">
        <v>0.49399999999999999</v>
      </c>
    </row>
    <row r="17" spans="2:3" x14ac:dyDescent="0.25">
      <c r="B17" t="s">
        <v>22</v>
      </c>
      <c r="C17" s="8">
        <v>4.9000000000000002E-2</v>
      </c>
    </row>
    <row r="18" spans="2:3" x14ac:dyDescent="0.25">
      <c r="B18" t="s">
        <v>196</v>
      </c>
      <c r="C18" s="8">
        <v>0.04</v>
      </c>
    </row>
    <row r="19" spans="2:3" x14ac:dyDescent="0.25">
      <c r="B19" t="s">
        <v>197</v>
      </c>
      <c r="C19" s="8">
        <v>0.28999999999999998</v>
      </c>
    </row>
    <row r="20" spans="2:3" x14ac:dyDescent="0.25">
      <c r="B20" t="s">
        <v>17</v>
      </c>
      <c r="C20" s="8">
        <v>0.8</v>
      </c>
    </row>
    <row r="21" spans="2:3" x14ac:dyDescent="0.25">
      <c r="B21" t="s">
        <v>198</v>
      </c>
      <c r="C21" s="8">
        <v>0</v>
      </c>
    </row>
    <row r="22" spans="2:3" x14ac:dyDescent="0.25">
      <c r="B22" t="s">
        <v>187</v>
      </c>
    </row>
    <row r="23" spans="2:3" x14ac:dyDescent="0.25">
      <c r="B23" t="s">
        <v>199</v>
      </c>
      <c r="C23" s="8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21"/>
  <sheetViews>
    <sheetView zoomScaleNormal="100" workbookViewId="0">
      <selection activeCell="M26" sqref="M26"/>
    </sheetView>
  </sheetViews>
  <sheetFormatPr defaultRowHeight="15" x14ac:dyDescent="0.25"/>
  <cols>
    <col min="2" max="2" width="28" customWidth="1"/>
    <col min="3" max="3" width="13.42578125" customWidth="1"/>
    <col min="10" max="10" width="16.28515625" customWidth="1"/>
  </cols>
  <sheetData>
    <row r="3" spans="2:14" ht="16.5" x14ac:dyDescent="0.35">
      <c r="D3" s="58" t="s">
        <v>176</v>
      </c>
      <c r="E3" s="58"/>
      <c r="F3" s="58"/>
      <c r="G3" s="58"/>
    </row>
    <row r="7" spans="2:14" ht="21" x14ac:dyDescent="0.35">
      <c r="B7" s="65" t="s">
        <v>180</v>
      </c>
      <c r="C7" s="65"/>
      <c r="D7" s="65"/>
      <c r="E7" s="65"/>
      <c r="F7" s="65"/>
      <c r="G7" s="65"/>
    </row>
    <row r="8" spans="2:14" x14ac:dyDescent="0.25">
      <c r="B8" s="49"/>
      <c r="C8" s="49"/>
      <c r="D8" s="49"/>
      <c r="E8" s="49"/>
      <c r="F8" s="49"/>
      <c r="G8" s="49"/>
    </row>
    <row r="9" spans="2:14" x14ac:dyDescent="0.25">
      <c r="B9" s="66" t="s">
        <v>181</v>
      </c>
      <c r="C9" s="66" t="s">
        <v>182</v>
      </c>
      <c r="D9" s="66" t="s">
        <v>183</v>
      </c>
      <c r="E9" s="66" t="s">
        <v>184</v>
      </c>
    </row>
    <row r="10" spans="2:14" x14ac:dyDescent="0.25">
      <c r="B10" s="66"/>
      <c r="C10" s="66"/>
      <c r="D10" s="66"/>
      <c r="E10" s="66"/>
    </row>
    <row r="11" spans="2:14" ht="18" x14ac:dyDescent="0.35">
      <c r="B11" s="21"/>
      <c r="C11" s="50" t="s">
        <v>24</v>
      </c>
      <c r="D11" s="50" t="s">
        <v>185</v>
      </c>
      <c r="E11" s="50" t="s">
        <v>186</v>
      </c>
    </row>
    <row r="12" spans="2:14" x14ac:dyDescent="0.25">
      <c r="B12" s="51" t="s">
        <v>192</v>
      </c>
      <c r="C12" s="52">
        <v>5000</v>
      </c>
      <c r="D12" s="53">
        <f>VLOOKUP(B12,Gorivo!$B$9:$C$23,2,FALSE)</f>
        <v>0.34</v>
      </c>
      <c r="E12" s="54">
        <f>IF(B12&lt;&gt;"Gorivo",C12*D12,"")</f>
        <v>1700.0000000000002</v>
      </c>
      <c r="N12" s="8"/>
    </row>
    <row r="13" spans="2:14" x14ac:dyDescent="0.25">
      <c r="B13" s="51" t="s">
        <v>22</v>
      </c>
      <c r="C13" s="52">
        <v>5000</v>
      </c>
      <c r="D13" s="53">
        <f>VLOOKUP(B13,Gorivo!$B$9:$C$23,2,FALSE)</f>
        <v>4.9000000000000002E-2</v>
      </c>
      <c r="E13" s="54">
        <f t="shared" ref="E13:E17" si="0">IF(B13&lt;&gt;"Gorivo",C13*D13,"")</f>
        <v>245</v>
      </c>
    </row>
    <row r="14" spans="2:14" x14ac:dyDescent="0.25">
      <c r="B14" s="51" t="s">
        <v>187</v>
      </c>
      <c r="C14" s="52"/>
      <c r="D14" s="53">
        <f>VLOOKUP(B14,Gorivo!$B$9:$C$23,2,FALSE)</f>
        <v>0</v>
      </c>
      <c r="E14" s="54" t="str">
        <f t="shared" si="0"/>
        <v/>
      </c>
    </row>
    <row r="15" spans="2:14" x14ac:dyDescent="0.25">
      <c r="B15" s="51" t="s">
        <v>187</v>
      </c>
      <c r="C15" s="52"/>
      <c r="D15" s="53">
        <f>VLOOKUP(B15,Gorivo!$B$9:$C$23,2,FALSE)</f>
        <v>0</v>
      </c>
      <c r="E15" s="54" t="str">
        <f t="shared" si="0"/>
        <v/>
      </c>
    </row>
    <row r="16" spans="2:14" x14ac:dyDescent="0.25">
      <c r="B16" s="51" t="s">
        <v>187</v>
      </c>
      <c r="C16" s="52"/>
      <c r="D16" s="53">
        <f>VLOOKUP(B16,Gorivo!$B$9:$C$23,2,FALSE)</f>
        <v>0</v>
      </c>
      <c r="E16" s="54" t="str">
        <f t="shared" si="0"/>
        <v/>
      </c>
    </row>
    <row r="17" spans="2:5" x14ac:dyDescent="0.25">
      <c r="B17" s="51" t="s">
        <v>187</v>
      </c>
      <c r="C17" s="52"/>
      <c r="D17" s="53">
        <f>VLOOKUP(B17,Gorivo!$B$9:$C$23,2,FALSE)</f>
        <v>0</v>
      </c>
      <c r="E17" s="54" t="str">
        <f t="shared" si="0"/>
        <v/>
      </c>
    </row>
    <row r="18" spans="2:5" x14ac:dyDescent="0.25">
      <c r="B18" s="21" t="s">
        <v>71</v>
      </c>
      <c r="C18" s="54">
        <f>SUM(C12:C17)</f>
        <v>10000</v>
      </c>
      <c r="D18" s="53"/>
      <c r="E18" s="54">
        <f>SUM(E12:E17)</f>
        <v>1945.0000000000002</v>
      </c>
    </row>
    <row r="20" spans="2:5" ht="18" x14ac:dyDescent="0.35">
      <c r="B20" s="64" t="s">
        <v>188</v>
      </c>
      <c r="C20" s="64"/>
      <c r="D20" s="64"/>
      <c r="E20" s="50" t="s">
        <v>189</v>
      </c>
    </row>
    <row r="21" spans="2:5" x14ac:dyDescent="0.25">
      <c r="B21" s="64"/>
      <c r="C21" s="64"/>
      <c r="D21" s="64"/>
      <c r="E21" s="55">
        <f>E18/C18</f>
        <v>0.19450000000000003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Q39"/>
  <sheetViews>
    <sheetView topLeftCell="C37" workbookViewId="0">
      <selection activeCell="D3" sqref="D3:G3"/>
    </sheetView>
  </sheetViews>
  <sheetFormatPr defaultRowHeight="15" x14ac:dyDescent="0.25"/>
  <cols>
    <col min="3" max="3" width="36.42578125" customWidth="1"/>
    <col min="8" max="8" width="10.28515625" customWidth="1"/>
    <col min="11" max="11" width="12.5703125" customWidth="1"/>
    <col min="14" max="14" width="10.140625" customWidth="1"/>
  </cols>
  <sheetData>
    <row r="3" spans="2:15" ht="16.5" x14ac:dyDescent="0.35">
      <c r="D3" s="58" t="s">
        <v>176</v>
      </c>
      <c r="E3" s="58"/>
      <c r="F3" s="58"/>
      <c r="G3" s="58"/>
    </row>
    <row r="7" spans="2:15" ht="15" customHeight="1" x14ac:dyDescent="0.25">
      <c r="B7" s="17" t="s">
        <v>50</v>
      </c>
      <c r="C7" t="s">
        <v>48</v>
      </c>
      <c r="F7">
        <v>1</v>
      </c>
      <c r="H7" s="21" t="s">
        <v>10</v>
      </c>
      <c r="I7" t="s">
        <v>51</v>
      </c>
      <c r="N7" s="21" t="s">
        <v>3</v>
      </c>
      <c r="O7" t="s">
        <v>4</v>
      </c>
    </row>
    <row r="8" spans="2:15" x14ac:dyDescent="0.25">
      <c r="C8" t="s">
        <v>111</v>
      </c>
      <c r="F8">
        <v>2</v>
      </c>
      <c r="I8" t="s">
        <v>52</v>
      </c>
      <c r="O8" t="s">
        <v>5</v>
      </c>
    </row>
    <row r="9" spans="2:15" x14ac:dyDescent="0.25">
      <c r="C9" t="s">
        <v>49</v>
      </c>
      <c r="F9">
        <v>3</v>
      </c>
      <c r="I9" t="s">
        <v>114</v>
      </c>
      <c r="O9" t="s">
        <v>6</v>
      </c>
    </row>
    <row r="10" spans="2:15" x14ac:dyDescent="0.25">
      <c r="C10" t="s">
        <v>34</v>
      </c>
      <c r="F10">
        <v>4</v>
      </c>
      <c r="I10" t="s">
        <v>115</v>
      </c>
      <c r="O10" t="s">
        <v>7</v>
      </c>
    </row>
    <row r="11" spans="2:15" x14ac:dyDescent="0.25">
      <c r="C11" t="s">
        <v>35</v>
      </c>
      <c r="F11">
        <v>5</v>
      </c>
      <c r="I11" t="s">
        <v>116</v>
      </c>
      <c r="O11" t="s">
        <v>8</v>
      </c>
    </row>
    <row r="12" spans="2:15" x14ac:dyDescent="0.25">
      <c r="C12" t="s">
        <v>36</v>
      </c>
      <c r="F12">
        <v>6</v>
      </c>
      <c r="I12" t="s">
        <v>117</v>
      </c>
      <c r="O12" t="s">
        <v>32</v>
      </c>
    </row>
    <row r="13" spans="2:15" x14ac:dyDescent="0.25">
      <c r="C13" t="s">
        <v>37</v>
      </c>
      <c r="F13">
        <v>7</v>
      </c>
      <c r="I13" t="s">
        <v>118</v>
      </c>
    </row>
    <row r="14" spans="2:15" x14ac:dyDescent="0.25">
      <c r="C14" t="s">
        <v>38</v>
      </c>
      <c r="F14">
        <v>8</v>
      </c>
      <c r="I14" t="s">
        <v>53</v>
      </c>
    </row>
    <row r="15" spans="2:15" x14ac:dyDescent="0.25">
      <c r="C15" t="s">
        <v>39</v>
      </c>
      <c r="F15">
        <v>9</v>
      </c>
      <c r="H15" s="12"/>
      <c r="I15" t="s">
        <v>119</v>
      </c>
      <c r="N15" s="21" t="s">
        <v>9</v>
      </c>
      <c r="O15" t="s">
        <v>55</v>
      </c>
    </row>
    <row r="16" spans="2:15" x14ac:dyDescent="0.25">
      <c r="C16" t="s">
        <v>40</v>
      </c>
      <c r="F16">
        <v>10</v>
      </c>
      <c r="H16" s="12"/>
      <c r="I16" t="s">
        <v>54</v>
      </c>
      <c r="O16" t="s">
        <v>56</v>
      </c>
    </row>
    <row r="17" spans="3:17" x14ac:dyDescent="0.25">
      <c r="C17" t="s">
        <v>41</v>
      </c>
      <c r="F17">
        <v>11</v>
      </c>
      <c r="O17" t="s">
        <v>57</v>
      </c>
    </row>
    <row r="18" spans="3:17" x14ac:dyDescent="0.25">
      <c r="C18" t="s">
        <v>44</v>
      </c>
      <c r="F18">
        <v>12</v>
      </c>
      <c r="O18" t="s">
        <v>58</v>
      </c>
    </row>
    <row r="19" spans="3:17" ht="18" x14ac:dyDescent="0.35">
      <c r="C19" t="s">
        <v>45</v>
      </c>
      <c r="F19">
        <v>13</v>
      </c>
      <c r="O19" t="s">
        <v>59</v>
      </c>
    </row>
    <row r="20" spans="3:17" x14ac:dyDescent="0.25">
      <c r="C20" t="s">
        <v>42</v>
      </c>
      <c r="F20">
        <v>14</v>
      </c>
    </row>
    <row r="21" spans="3:17" ht="18" x14ac:dyDescent="0.35">
      <c r="C21" t="s">
        <v>43</v>
      </c>
      <c r="F21">
        <v>15</v>
      </c>
      <c r="N21" s="21" t="s">
        <v>11</v>
      </c>
      <c r="O21" t="s">
        <v>60</v>
      </c>
    </row>
    <row r="22" spans="3:17" x14ac:dyDescent="0.25">
      <c r="C22" t="s">
        <v>46</v>
      </c>
      <c r="F22">
        <v>16</v>
      </c>
      <c r="O22" t="s">
        <v>61</v>
      </c>
    </row>
    <row r="23" spans="3:17" x14ac:dyDescent="0.25">
      <c r="C23" t="s">
        <v>47</v>
      </c>
      <c r="F23">
        <v>17</v>
      </c>
      <c r="H23" s="67" t="s">
        <v>140</v>
      </c>
      <c r="I23" s="67"/>
      <c r="J23" s="67"/>
      <c r="O23" t="s">
        <v>62</v>
      </c>
    </row>
    <row r="24" spans="3:17" x14ac:dyDescent="0.25">
      <c r="C24" t="s">
        <v>113</v>
      </c>
      <c r="F24">
        <v>18</v>
      </c>
      <c r="I24" t="s">
        <v>141</v>
      </c>
      <c r="K24" s="3">
        <f>+SUM(UnosPodataka!F22:F24)</f>
        <v>340000</v>
      </c>
      <c r="L24" s="20">
        <v>0</v>
      </c>
      <c r="O24" t="s">
        <v>63</v>
      </c>
    </row>
    <row r="25" spans="3:17" x14ac:dyDescent="0.25">
      <c r="C25" s="16">
        <f>VLOOKUP(Pocetna!M12,C7:F23,4,FALSE)</f>
        <v>13</v>
      </c>
      <c r="I25" t="s">
        <v>142</v>
      </c>
      <c r="K25" s="3">
        <f>+Loan</f>
        <v>86000</v>
      </c>
      <c r="L25" s="20">
        <v>0.12</v>
      </c>
      <c r="O25" t="s">
        <v>112</v>
      </c>
    </row>
    <row r="26" spans="3:17" x14ac:dyDescent="0.25">
      <c r="C26" s="11"/>
      <c r="I26" t="s">
        <v>32</v>
      </c>
      <c r="K26" s="3">
        <f>+Equity</f>
        <v>40000</v>
      </c>
      <c r="L26" s="7">
        <v>5.8299999999999998E-2</v>
      </c>
      <c r="O26" t="s">
        <v>65</v>
      </c>
    </row>
    <row r="27" spans="3:17" x14ac:dyDescent="0.25">
      <c r="C27" s="11"/>
      <c r="J27" t="s">
        <v>143</v>
      </c>
      <c r="K27" s="3">
        <f>+SUM(K24:K26)</f>
        <v>466000</v>
      </c>
      <c r="L27" s="7">
        <f>+(K24*L24+K25*L25+K26*L26)/K27</f>
        <v>2.715021459227468E-2</v>
      </c>
      <c r="O27" t="s">
        <v>139</v>
      </c>
    </row>
    <row r="29" spans="3:17" x14ac:dyDescent="0.25">
      <c r="C29" s="28"/>
      <c r="N29" s="21" t="s">
        <v>12</v>
      </c>
      <c r="O29" t="s">
        <v>13</v>
      </c>
      <c r="Q29" s="3">
        <v>0.2</v>
      </c>
    </row>
    <row r="30" spans="3:17" x14ac:dyDescent="0.25">
      <c r="O30" t="s">
        <v>14</v>
      </c>
      <c r="Q30" s="3">
        <v>0.22</v>
      </c>
    </row>
    <row r="31" spans="3:17" x14ac:dyDescent="0.25">
      <c r="O31" t="s">
        <v>15</v>
      </c>
      <c r="Q31" s="3">
        <v>0.27</v>
      </c>
    </row>
    <row r="32" spans="3:17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0.49399999999999999</v>
      </c>
    </row>
    <row r="35" spans="15:17" x14ac:dyDescent="0.25">
      <c r="O35" t="s">
        <v>22</v>
      </c>
      <c r="Q35" s="3">
        <v>0</v>
      </c>
    </row>
    <row r="36" spans="15:17" x14ac:dyDescent="0.25">
      <c r="O36" t="s">
        <v>19</v>
      </c>
      <c r="Q36" s="3">
        <v>0.4</v>
      </c>
    </row>
    <row r="37" spans="15:17" x14ac:dyDescent="0.25">
      <c r="O37" t="s">
        <v>20</v>
      </c>
      <c r="Q37" s="3">
        <v>0.33</v>
      </c>
    </row>
    <row r="38" spans="15:17" x14ac:dyDescent="0.25">
      <c r="O38" t="s">
        <v>21</v>
      </c>
      <c r="Q38" s="3">
        <v>0</v>
      </c>
    </row>
    <row r="39" spans="15:17" x14ac:dyDescent="0.25">
      <c r="O39" t="s">
        <v>138</v>
      </c>
      <c r="Q39" s="8">
        <f>SUM(KonvFaktor!E21)</f>
        <v>0.19450000000000003</v>
      </c>
    </row>
  </sheetData>
  <sheetProtection selectLockedCells="1"/>
  <mergeCells count="2">
    <mergeCell ref="H23:J23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3"/>
  <sheetViews>
    <sheetView workbookViewId="0">
      <selection activeCell="R25" sqref="R25"/>
    </sheetView>
  </sheetViews>
  <sheetFormatPr defaultRowHeight="15" x14ac:dyDescent="0.25"/>
  <cols>
    <col min="5" max="5" width="18.28515625" customWidth="1"/>
    <col min="6" max="6" width="15.28515625" customWidth="1"/>
    <col min="7" max="7" width="9.140625" hidden="1" customWidth="1"/>
    <col min="12" max="12" width="19.85546875" customWidth="1"/>
    <col min="13" max="13" width="14" customWidth="1"/>
  </cols>
  <sheetData>
    <row r="3" spans="2:16" ht="16.5" x14ac:dyDescent="0.35">
      <c r="F3" s="58" t="s">
        <v>176</v>
      </c>
      <c r="G3" s="58"/>
      <c r="H3" s="58"/>
      <c r="I3" s="58"/>
    </row>
    <row r="7" spans="2:16" x14ac:dyDescent="0.25">
      <c r="B7" s="73" t="s">
        <v>66</v>
      </c>
      <c r="C7" s="73"/>
      <c r="D7" s="73"/>
      <c r="E7" s="73"/>
      <c r="F7" s="1" t="s">
        <v>1</v>
      </c>
      <c r="I7" s="71" t="s">
        <v>66</v>
      </c>
      <c r="J7" s="71"/>
      <c r="K7" s="71"/>
      <c r="L7" s="71"/>
      <c r="M7" s="2" t="s">
        <v>23</v>
      </c>
    </row>
    <row r="8" spans="2:16" x14ac:dyDescent="0.25">
      <c r="O8" s="62" t="s">
        <v>128</v>
      </c>
      <c r="P8" s="62"/>
    </row>
    <row r="9" spans="2:16" x14ac:dyDescent="0.25">
      <c r="B9" s="68" t="s">
        <v>51</v>
      </c>
      <c r="C9" s="68"/>
      <c r="D9" s="68"/>
      <c r="E9" s="68"/>
      <c r="F9" s="9">
        <v>5000</v>
      </c>
      <c r="G9" s="44">
        <f t="shared" ref="G9:G18" si="0">+F9/Investment</f>
        <v>1.0729613733905579E-2</v>
      </c>
      <c r="I9" s="68" t="s">
        <v>55</v>
      </c>
      <c r="J9" s="68"/>
      <c r="K9" s="68"/>
      <c r="L9" s="68"/>
      <c r="M9" s="9">
        <v>100</v>
      </c>
      <c r="O9" s="62"/>
      <c r="P9" s="62"/>
    </row>
    <row r="10" spans="2:16" x14ac:dyDescent="0.25">
      <c r="B10" s="68" t="s">
        <v>52</v>
      </c>
      <c r="C10" s="68"/>
      <c r="D10" s="68"/>
      <c r="E10" s="68"/>
      <c r="F10" s="9">
        <v>3000</v>
      </c>
      <c r="G10" s="44">
        <f t="shared" si="0"/>
        <v>6.4377682403433476E-3</v>
      </c>
      <c r="I10" s="68" t="s">
        <v>56</v>
      </c>
      <c r="J10" s="68"/>
      <c r="K10" s="68"/>
      <c r="L10" s="68"/>
      <c r="M10" s="7">
        <v>1</v>
      </c>
    </row>
    <row r="11" spans="2:16" x14ac:dyDescent="0.25">
      <c r="B11" s="68" t="s">
        <v>114</v>
      </c>
      <c r="C11" s="68"/>
      <c r="D11" s="68"/>
      <c r="E11" s="68"/>
      <c r="F11" s="9">
        <v>200000</v>
      </c>
      <c r="G11" s="44">
        <f t="shared" si="0"/>
        <v>0.42918454935622319</v>
      </c>
      <c r="I11" s="68" t="s">
        <v>57</v>
      </c>
      <c r="J11" s="68"/>
      <c r="K11" s="68"/>
      <c r="L11" s="68"/>
      <c r="M11" s="25">
        <v>0.03</v>
      </c>
      <c r="O11" s="63" t="s">
        <v>129</v>
      </c>
      <c r="P11" s="63"/>
    </row>
    <row r="12" spans="2:16" x14ac:dyDescent="0.25">
      <c r="B12" s="68" t="s">
        <v>115</v>
      </c>
      <c r="C12" s="68"/>
      <c r="D12" s="68"/>
      <c r="E12" s="68"/>
      <c r="F12" s="9">
        <v>100000</v>
      </c>
      <c r="G12" s="44">
        <f t="shared" si="0"/>
        <v>0.21459227467811159</v>
      </c>
      <c r="I12" s="68" t="s">
        <v>58</v>
      </c>
      <c r="J12" s="68"/>
      <c r="K12" s="68"/>
      <c r="L12" s="68"/>
      <c r="M12" s="25">
        <v>0.1</v>
      </c>
      <c r="O12" s="63"/>
      <c r="P12" s="63"/>
    </row>
    <row r="13" spans="2:16" x14ac:dyDescent="0.25">
      <c r="B13" s="68" t="s">
        <v>116</v>
      </c>
      <c r="C13" s="68"/>
      <c r="D13" s="68"/>
      <c r="E13" s="68"/>
      <c r="F13" s="9">
        <v>50000</v>
      </c>
      <c r="G13" s="44">
        <f t="shared" si="0"/>
        <v>0.1072961373390558</v>
      </c>
      <c r="I13" s="68" t="s">
        <v>69</v>
      </c>
      <c r="J13" s="68"/>
      <c r="K13" s="68"/>
      <c r="L13" s="68"/>
      <c r="M13" s="26">
        <v>97.44</v>
      </c>
    </row>
    <row r="14" spans="2:16" x14ac:dyDescent="0.25">
      <c r="B14" s="68" t="s">
        <v>117</v>
      </c>
      <c r="C14" s="68"/>
      <c r="D14" s="68"/>
      <c r="E14" s="68"/>
      <c r="F14" s="9">
        <v>20000</v>
      </c>
      <c r="G14" s="44">
        <f t="shared" si="0"/>
        <v>4.2918454935622317E-2</v>
      </c>
      <c r="I14" s="22"/>
      <c r="J14" s="22"/>
      <c r="K14" s="22"/>
      <c r="L14" s="22"/>
      <c r="M14" s="8"/>
    </row>
    <row r="15" spans="2:16" x14ac:dyDescent="0.25">
      <c r="B15" s="68" t="s">
        <v>118</v>
      </c>
      <c r="C15" s="68"/>
      <c r="D15" s="68"/>
      <c r="E15" s="68"/>
      <c r="F15" s="9">
        <v>50000</v>
      </c>
      <c r="G15" s="44">
        <f t="shared" si="0"/>
        <v>0.1072961373390558</v>
      </c>
      <c r="I15" s="22"/>
      <c r="J15" s="22"/>
      <c r="K15" s="22"/>
      <c r="L15" s="22"/>
      <c r="M15" s="8"/>
    </row>
    <row r="16" spans="2:16" x14ac:dyDescent="0.25">
      <c r="B16" s="68" t="s">
        <v>53</v>
      </c>
      <c r="C16" s="68"/>
      <c r="D16" s="68"/>
      <c r="E16" s="68"/>
      <c r="F16" s="9">
        <v>10000</v>
      </c>
      <c r="G16" s="44">
        <f t="shared" si="0"/>
        <v>2.1459227467811159E-2</v>
      </c>
      <c r="I16" s="22"/>
      <c r="J16" s="22"/>
      <c r="K16" s="22"/>
      <c r="L16" s="22"/>
      <c r="M16" s="8"/>
    </row>
    <row r="17" spans="2:13" x14ac:dyDescent="0.25">
      <c r="B17" s="68" t="s">
        <v>119</v>
      </c>
      <c r="C17" s="68"/>
      <c r="D17" s="68"/>
      <c r="E17" s="68"/>
      <c r="F17" s="9">
        <v>25000</v>
      </c>
      <c r="G17" s="44">
        <f t="shared" si="0"/>
        <v>5.3648068669527899E-2</v>
      </c>
      <c r="I17" s="22"/>
      <c r="J17" s="22"/>
      <c r="K17" s="22"/>
      <c r="L17" s="22"/>
      <c r="M17" s="8"/>
    </row>
    <row r="18" spans="2:13" x14ac:dyDescent="0.25">
      <c r="B18" s="72" t="s">
        <v>54</v>
      </c>
      <c r="C18" s="72"/>
      <c r="D18" s="72"/>
      <c r="E18" s="72"/>
      <c r="F18" s="9">
        <v>3000</v>
      </c>
      <c r="G18" s="44">
        <f t="shared" si="0"/>
        <v>6.4377682403433476E-3</v>
      </c>
      <c r="I18" s="69"/>
      <c r="J18" s="69"/>
      <c r="K18" s="69"/>
      <c r="L18" s="69"/>
      <c r="M18" s="7"/>
    </row>
    <row r="19" spans="2:13" x14ac:dyDescent="0.25">
      <c r="B19" s="68"/>
      <c r="C19" s="68"/>
      <c r="D19" s="68"/>
      <c r="E19" s="68"/>
      <c r="F19" s="9"/>
      <c r="G19" s="44"/>
      <c r="I19" s="68" t="s">
        <v>63</v>
      </c>
      <c r="J19" s="68"/>
      <c r="K19" s="68"/>
      <c r="L19" s="68"/>
      <c r="M19" s="25">
        <v>0.06</v>
      </c>
    </row>
    <row r="20" spans="2:13" x14ac:dyDescent="0.25">
      <c r="D20" s="70" t="s">
        <v>67</v>
      </c>
      <c r="E20" s="70"/>
      <c r="F20" s="3">
        <f>SUM(F9:F19)</f>
        <v>466000</v>
      </c>
      <c r="G20" s="44">
        <f>+F20/Investment</f>
        <v>1</v>
      </c>
      <c r="I20" s="68" t="s">
        <v>64</v>
      </c>
      <c r="J20" s="68"/>
      <c r="K20" s="68"/>
      <c r="L20" s="68"/>
      <c r="M20" s="7">
        <v>0.12</v>
      </c>
    </row>
    <row r="21" spans="2:13" x14ac:dyDescent="0.25">
      <c r="D21" s="70" t="s">
        <v>68</v>
      </c>
      <c r="E21" s="70"/>
      <c r="F21" s="3">
        <f>F20*(1+PDV)</f>
        <v>559200</v>
      </c>
      <c r="G21" s="45"/>
      <c r="I21" s="68" t="s">
        <v>139</v>
      </c>
      <c r="J21" s="68"/>
      <c r="K21" s="68"/>
      <c r="L21" s="68"/>
      <c r="M21" s="7">
        <f>+PomTab1!L26</f>
        <v>5.8299999999999998E-2</v>
      </c>
    </row>
    <row r="22" spans="2:13" x14ac:dyDescent="0.25">
      <c r="B22" s="68" t="s">
        <v>4</v>
      </c>
      <c r="C22" s="68"/>
      <c r="D22" s="68"/>
      <c r="E22" s="68"/>
      <c r="F22" s="3">
        <v>90000</v>
      </c>
      <c r="G22" s="44">
        <f>+F22/Investment</f>
        <v>0.19313304721030042</v>
      </c>
      <c r="I22" s="68" t="s">
        <v>61</v>
      </c>
      <c r="J22" s="68"/>
      <c r="K22" s="68"/>
      <c r="L22" s="68"/>
      <c r="M22" s="27">
        <v>10</v>
      </c>
    </row>
    <row r="23" spans="2:13" x14ac:dyDescent="0.25">
      <c r="B23" s="68" t="s">
        <v>6</v>
      </c>
      <c r="C23" s="68"/>
      <c r="D23" s="68"/>
      <c r="E23" s="68"/>
      <c r="F23" s="3">
        <v>150000</v>
      </c>
      <c r="G23" s="44">
        <f>+F23/Investment</f>
        <v>0.32188841201716739</v>
      </c>
      <c r="I23" s="68" t="s">
        <v>65</v>
      </c>
      <c r="J23" s="68"/>
      <c r="K23" s="68"/>
      <c r="L23" s="68"/>
      <c r="M23" s="9" t="s">
        <v>138</v>
      </c>
    </row>
    <row r="24" spans="2:13" x14ac:dyDescent="0.25">
      <c r="B24" s="68" t="s">
        <v>7</v>
      </c>
      <c r="C24" s="68"/>
      <c r="D24" s="68"/>
      <c r="E24" s="68"/>
      <c r="F24" s="3">
        <v>100000</v>
      </c>
      <c r="G24" s="44">
        <f>+F24/Investment</f>
        <v>0.21459227467811159</v>
      </c>
      <c r="I24" s="68" t="s">
        <v>70</v>
      </c>
      <c r="J24" s="68"/>
      <c r="K24" s="68"/>
      <c r="L24" s="68"/>
      <c r="M24" s="3">
        <f>VLOOKUP(M23,PomTab1!O29:Q39,3,FALSE)</f>
        <v>0.19450000000000003</v>
      </c>
    </row>
    <row r="25" spans="2:13" x14ac:dyDescent="0.25">
      <c r="B25" s="68"/>
      <c r="C25" s="68"/>
      <c r="D25" s="68"/>
      <c r="E25" s="68"/>
      <c r="G25" s="44"/>
      <c r="I25" s="68" t="s">
        <v>62</v>
      </c>
      <c r="J25" s="68"/>
      <c r="K25" s="68"/>
      <c r="L25" s="68"/>
      <c r="M25" s="10">
        <v>20</v>
      </c>
    </row>
    <row r="26" spans="2:13" x14ac:dyDescent="0.25">
      <c r="B26" s="68"/>
      <c r="C26" s="68"/>
      <c r="D26" s="68"/>
      <c r="E26" s="68"/>
      <c r="G26" s="44"/>
    </row>
    <row r="27" spans="2:13" x14ac:dyDescent="0.25">
      <c r="B27" s="68" t="s">
        <v>32</v>
      </c>
      <c r="C27" s="68"/>
      <c r="D27" s="68"/>
      <c r="E27" s="68"/>
      <c r="F27" s="3">
        <v>40000</v>
      </c>
      <c r="G27" s="44">
        <f>+F27/Investment</f>
        <v>8.5836909871244635E-2</v>
      </c>
      <c r="I27" s="68"/>
      <c r="J27" s="68"/>
      <c r="K27" s="68"/>
      <c r="L27" s="68"/>
      <c r="M27" s="13"/>
    </row>
    <row r="28" spans="2:13" x14ac:dyDescent="0.25">
      <c r="E28" s="5" t="s">
        <v>71</v>
      </c>
      <c r="F28" s="3">
        <f>IF(SUM(F22:F27)&gt;F20,FALSE,SUM(F22:F27))</f>
        <v>380000</v>
      </c>
      <c r="G28" s="44">
        <f>+F28/Investment</f>
        <v>0.81545064377682408</v>
      </c>
      <c r="I28" s="68"/>
      <c r="J28" s="68"/>
      <c r="K28" s="68"/>
      <c r="L28" s="68"/>
      <c r="M28" s="3"/>
    </row>
    <row r="29" spans="2:13" x14ac:dyDescent="0.25">
      <c r="F29" s="3"/>
      <c r="G29" s="44"/>
      <c r="I29" s="68"/>
      <c r="J29" s="68"/>
      <c r="K29" s="68"/>
      <c r="L29" s="68"/>
      <c r="M29" s="13"/>
    </row>
    <row r="30" spans="2:13" x14ac:dyDescent="0.25">
      <c r="E30" s="4" t="s">
        <v>72</v>
      </c>
      <c r="F30" s="3">
        <f>F20-F28</f>
        <v>86000</v>
      </c>
      <c r="G30" s="44">
        <f>+F30/Investment</f>
        <v>0.18454935622317598</v>
      </c>
    </row>
    <row r="33" spans="9:9" x14ac:dyDescent="0.25">
      <c r="I33" s="32"/>
    </row>
  </sheetData>
  <sheetProtection selectLockedCells="1"/>
  <mergeCells count="40">
    <mergeCell ref="F3:I3"/>
    <mergeCell ref="O8:P9"/>
    <mergeCell ref="O11:P12"/>
    <mergeCell ref="B17:E17"/>
    <mergeCell ref="B16:E16"/>
    <mergeCell ref="B15:E15"/>
    <mergeCell ref="B14:E14"/>
    <mergeCell ref="B11:E11"/>
    <mergeCell ref="I9:L9"/>
    <mergeCell ref="I10:L10"/>
    <mergeCell ref="I11:L11"/>
    <mergeCell ref="I12:L12"/>
    <mergeCell ref="I13:L13"/>
    <mergeCell ref="B26:E26"/>
    <mergeCell ref="D21:E21"/>
    <mergeCell ref="D20:E20"/>
    <mergeCell ref="B27:E27"/>
    <mergeCell ref="I7:L7"/>
    <mergeCell ref="B22:E22"/>
    <mergeCell ref="B23:E23"/>
    <mergeCell ref="B24:E24"/>
    <mergeCell ref="B25:E25"/>
    <mergeCell ref="B12:E12"/>
    <mergeCell ref="B13:E13"/>
    <mergeCell ref="B18:E18"/>
    <mergeCell ref="B19:E19"/>
    <mergeCell ref="B7:E7"/>
    <mergeCell ref="B9:E9"/>
    <mergeCell ref="B10:E10"/>
    <mergeCell ref="I19:L19"/>
    <mergeCell ref="I18:L18"/>
    <mergeCell ref="I27:L27"/>
    <mergeCell ref="I28:L28"/>
    <mergeCell ref="I29:L29"/>
    <mergeCell ref="I20:L20"/>
    <mergeCell ref="I22:L22"/>
    <mergeCell ref="I23:L23"/>
    <mergeCell ref="I24:L24"/>
    <mergeCell ref="I25:L25"/>
    <mergeCell ref="I21:L21"/>
  </mergeCells>
  <dataValidations count="16">
    <dataValidation type="whole" allowBlank="1" showInputMessage="1" showErrorMessage="1" errorTitle="Restriction" error="Ne može biti više od 1.000.000 EUR" promptTitle="COSTSN" prompt="Unesi planirane troškove grupe pozicija" sqref="F9:F19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4:F26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decimal" allowBlank="1" showInputMessage="1" showErrorMessage="1" errorTitle="Restriction" error="Iznos ne može biti veći od 7%" promptTitle="DA" prompt="Troškovi amortizacije prema računovodstvenim standardima - za toplinske pumpe ta stopa je 10%." sqref="M12">
      <formula1>0</formula1>
      <formula2>0.3</formula2>
    </dataValidation>
    <dataValidation type="whole" allowBlank="1" showInputMessage="1" showErrorMessage="1" errorTitle="Restriction" error="Iznos ne može biti veći od 110 EUR/t CO2" promptTitle="CO2TAX" prompt="Preporučuje se iznos 55 EUR/t CO2." sqref="M14:M17">
      <formula1>0</formula1>
      <formula2>110</formula2>
    </dataValidation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9">
      <formula1>0</formula1>
      <formula2>0.1</formula2>
    </dataValidation>
    <dataValidation type="decimal" allowBlank="1" showInputMessage="1" showErrorMessage="1" errorTitle="Restriction" error="Nije dozvoljen iznos veći od 7.5%" promptTitle="PP" prompt="Prosečan prinos na sopstveni kapital (profitna stopa) prosečno je iznosila za toplane u Srbiji 5.,83%." sqref="M21">
      <formula1>0</formula1>
      <formula2>0.075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2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5">
      <formula1>0</formula1>
      <formula2>20</formula2>
    </dataValidation>
    <dataValidation type="whole" allowBlank="1" showInputMessage="1" showErrorMessage="1" errorTitle="Restriction" error="Maksimalni iznos do 200.000 EUR" promptTitle="Grant scheme" prompt="Unesi iznos granta ili učešća krajnjih korisnika ili sopstveni kapital javne ESCO kompanije" sqref="F27">
      <formula1>0</formula1>
      <formula2>200000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22">
      <formula1>0</formula1>
      <formula2>1000000</formula2>
    </dataValidation>
    <dataValidation type="whole" allowBlank="1" showInputMessage="1" showErrorMessage="1" errorTitle="Restriction" error="Maksimalni iznos do 150.000 EUR" promptTitle="Grant scheme" prompt="Unesi iznos granta ili učešća krajnjih korisnika ili sopstveni kapital javne ESCO kompanije" sqref="F23">
      <formula1>0</formula1>
      <formula2>150000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0"/>
  </dataValidations>
  <hyperlinks>
    <hyperlink ref="O8:P9" location="Pocetna!M9" display="NAZAD"/>
    <hyperlink ref="O11:P12" location="TrosakEnergij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B22:E27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I13:L17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PomTab1!$O$21:$O$26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PomTab1!$O$21:$O$26</xm:f>
          </x14:formula1>
          <xm:sqref>I20:L20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PomTab1!$O$21:$O$26</xm:f>
          </x14:formula1>
          <xm:sqref>I19:L19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PomTab1!$O$21:$O$26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PomTab1!$O$21:$O$26</xm:f>
          </x14:formula1>
          <xm:sqref>I23:L24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PomTab1!$O$29:$O$39</xm:f>
          </x14:formula1>
          <xm:sqref>M23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PomTab1!$I$7:$I$17</xm:f>
          </x14:formula1>
          <xm:sqref>B9:E19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PomTab1!$O$21:$O$27</xm:f>
          </x14:formula1>
          <xm:sqref>I21:L21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B4:R22"/>
  <sheetViews>
    <sheetView topLeftCell="A2" workbookViewId="0">
      <selection activeCell="J9" sqref="J9"/>
    </sheetView>
  </sheetViews>
  <sheetFormatPr defaultRowHeight="15" x14ac:dyDescent="0.25"/>
  <cols>
    <col min="9" max="9" width="10.28515625" customWidth="1"/>
    <col min="10" max="10" width="14" customWidth="1"/>
    <col min="11" max="12" width="9.140625" customWidth="1"/>
  </cols>
  <sheetData>
    <row r="4" spans="2:18" ht="16.5" x14ac:dyDescent="0.35">
      <c r="F4" s="58" t="s">
        <v>176</v>
      </c>
      <c r="G4" s="58"/>
      <c r="H4" s="58"/>
      <c r="I4" s="58"/>
    </row>
    <row r="7" spans="2:18" ht="21" x14ac:dyDescent="0.35">
      <c r="B7" s="65" t="s">
        <v>73</v>
      </c>
      <c r="C7" s="65"/>
      <c r="D7" s="65"/>
      <c r="E7" s="65"/>
      <c r="F7" s="65"/>
      <c r="G7" s="65"/>
    </row>
    <row r="9" spans="2:18" x14ac:dyDescent="0.25">
      <c r="B9" s="68" t="s">
        <v>74</v>
      </c>
      <c r="C9" s="68"/>
      <c r="D9" s="68"/>
      <c r="E9" s="68"/>
      <c r="I9" s="6" t="s">
        <v>24</v>
      </c>
      <c r="J9" s="14">
        <f>AREA*J15*365*eta*etagrid/1000</f>
        <v>683.28</v>
      </c>
      <c r="N9" s="62" t="s">
        <v>128</v>
      </c>
      <c r="O9" s="62"/>
      <c r="Q9" s="63" t="s">
        <v>129</v>
      </c>
      <c r="R9" s="63"/>
    </row>
    <row r="10" spans="2:18" x14ac:dyDescent="0.25">
      <c r="B10" s="68" t="s">
        <v>75</v>
      </c>
      <c r="C10" s="68"/>
      <c r="D10" s="68"/>
      <c r="E10" s="68"/>
      <c r="I10" s="6" t="s">
        <v>30</v>
      </c>
      <c r="J10" s="14">
        <v>12080</v>
      </c>
      <c r="M10" s="32"/>
      <c r="N10" s="62"/>
      <c r="O10" s="62"/>
      <c r="Q10" s="63"/>
      <c r="R10" s="63"/>
    </row>
    <row r="11" spans="2:18" x14ac:dyDescent="0.25">
      <c r="B11" s="68" t="s">
        <v>76</v>
      </c>
      <c r="C11" s="68"/>
      <c r="D11" s="68"/>
      <c r="E11" s="68"/>
      <c r="I11" s="6" t="s">
        <v>30</v>
      </c>
      <c r="J11" s="14">
        <v>8900</v>
      </c>
      <c r="M11" s="32"/>
    </row>
    <row r="12" spans="2:18" ht="17.25" x14ac:dyDescent="0.25">
      <c r="B12" s="68" t="s">
        <v>120</v>
      </c>
      <c r="C12" s="68"/>
      <c r="D12" s="68"/>
      <c r="E12" s="68"/>
      <c r="I12" s="6" t="s">
        <v>121</v>
      </c>
      <c r="J12" s="14">
        <v>1000</v>
      </c>
    </row>
    <row r="13" spans="2:18" x14ac:dyDescent="0.25">
      <c r="B13" s="68" t="s">
        <v>122</v>
      </c>
      <c r="C13" s="68"/>
      <c r="D13" s="68"/>
      <c r="E13" s="68"/>
      <c r="I13" s="6" t="s">
        <v>31</v>
      </c>
      <c r="J13" s="24">
        <v>0.65</v>
      </c>
      <c r="M13" s="32"/>
    </row>
    <row r="14" spans="2:18" x14ac:dyDescent="0.25">
      <c r="B14" s="68" t="s">
        <v>77</v>
      </c>
      <c r="C14" s="68"/>
      <c r="D14" s="68"/>
      <c r="E14" s="68"/>
      <c r="I14" s="6" t="s">
        <v>31</v>
      </c>
      <c r="J14" s="24">
        <v>0.9</v>
      </c>
    </row>
    <row r="15" spans="2:18" ht="17.25" x14ac:dyDescent="0.25">
      <c r="B15" s="68" t="s">
        <v>123</v>
      </c>
      <c r="C15" s="68"/>
      <c r="D15" s="68"/>
      <c r="E15" s="68"/>
      <c r="I15" s="6" t="s">
        <v>124</v>
      </c>
      <c r="J15" s="14">
        <v>3.2</v>
      </c>
    </row>
    <row r="16" spans="2:18" x14ac:dyDescent="0.25">
      <c r="B16" s="68" t="s">
        <v>78</v>
      </c>
      <c r="C16" s="68"/>
      <c r="D16" s="68"/>
      <c r="E16" s="68"/>
      <c r="I16" s="6" t="s">
        <v>33</v>
      </c>
      <c r="J16" s="14">
        <v>0.02</v>
      </c>
    </row>
    <row r="17" spans="2:12" x14ac:dyDescent="0.25">
      <c r="B17" s="68" t="s">
        <v>79</v>
      </c>
      <c r="C17" s="68"/>
      <c r="D17" s="68"/>
      <c r="E17" s="68"/>
      <c r="I17" s="6" t="s">
        <v>125</v>
      </c>
      <c r="J17" s="14">
        <v>3600</v>
      </c>
    </row>
    <row r="18" spans="2:12" x14ac:dyDescent="0.25">
      <c r="B18" s="68" t="s">
        <v>126</v>
      </c>
      <c r="C18" s="68"/>
      <c r="D18" s="68"/>
      <c r="E18" s="68"/>
      <c r="I18" s="6" t="s">
        <v>24</v>
      </c>
      <c r="J18" s="14">
        <f>EPOW*WHOUR</f>
        <v>72</v>
      </c>
    </row>
    <row r="20" spans="2:12" ht="18" x14ac:dyDescent="0.35">
      <c r="B20" t="s">
        <v>80</v>
      </c>
      <c r="I20" s="61" t="s">
        <v>138</v>
      </c>
      <c r="J20" s="61"/>
    </row>
    <row r="21" spans="2:12" x14ac:dyDescent="0.25">
      <c r="B21" s="68" t="s">
        <v>127</v>
      </c>
      <c r="C21" s="68"/>
      <c r="D21" s="68"/>
      <c r="E21" s="68"/>
      <c r="L21" t="b">
        <v>1</v>
      </c>
    </row>
    <row r="22" spans="2:12" ht="18" x14ac:dyDescent="0.35">
      <c r="B22" t="s">
        <v>81</v>
      </c>
      <c r="J22" s="3">
        <f>VLOOKUP(I20,PomTab1!O29:Q39,3,FALSE)-IF(CERT=FALSE,EENERGIJA*0.9/HEAT,0)</f>
        <v>0.19450000000000003</v>
      </c>
      <c r="L22" s="6"/>
    </row>
  </sheetData>
  <sheetProtection selectLockedCells="1"/>
  <mergeCells count="16">
    <mergeCell ref="F4:I4"/>
    <mergeCell ref="N9:O10"/>
    <mergeCell ref="Q9:R10"/>
    <mergeCell ref="B12:E12"/>
    <mergeCell ref="B9:E9"/>
    <mergeCell ref="B7:G7"/>
    <mergeCell ref="B11:E11"/>
    <mergeCell ref="B10:E10"/>
    <mergeCell ref="B21:E21"/>
    <mergeCell ref="B15:E15"/>
    <mergeCell ref="B13:E13"/>
    <mergeCell ref="I20:J20"/>
    <mergeCell ref="B18:E18"/>
    <mergeCell ref="B16:E16"/>
    <mergeCell ref="B14:E14"/>
    <mergeCell ref="B17:E17"/>
  </mergeCells>
  <dataValidations count="3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7">
      <formula1>500</formula1>
      <formula2>3600</formula2>
    </dataValidation>
    <dataValidation type="decimal" allowBlank="1" showInputMessage="1" showErrorMessage="1" errorTitle="Restriction" error="Dozvoljeno najviše 30.000 t/a" promptTitle="Biomass" prompt="Potrošnja biomase" sqref="J18">
      <formula1>0</formula1>
      <formula2>30000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/>
  </dataValidations>
  <hyperlinks>
    <hyperlink ref="N9:O10" location="UnosPodataka!O4" display="NAZAD"/>
    <hyperlink ref="Q9:R10" location="Anuiteti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4" name="Check Box 5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20</xdr:row>
                    <xdr:rowOff>9525</xdr:rowOff>
                  </from>
                  <to>
                    <xdr:col>9</xdr:col>
                    <xdr:colOff>923925</xdr:colOff>
                    <xdr:row>21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>
          <x14:formula1>
            <xm:f>PomTab1!$O$29:$O$39</xm:f>
          </x14:formula1>
          <xm:sqref>I20:J20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M32"/>
  <sheetViews>
    <sheetView workbookViewId="0">
      <selection activeCell="B38" sqref="B38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58" t="s">
        <v>176</v>
      </c>
      <c r="E3" s="58"/>
      <c r="F3" s="58"/>
      <c r="G3" s="58"/>
    </row>
    <row r="7" spans="2:13" ht="21" x14ac:dyDescent="0.35">
      <c r="B7" s="65" t="s">
        <v>82</v>
      </c>
      <c r="C7" s="65"/>
      <c r="D7" s="65"/>
      <c r="E7" s="65"/>
      <c r="F7" s="65"/>
      <c r="G7" s="65"/>
    </row>
    <row r="9" spans="2:13" x14ac:dyDescent="0.25">
      <c r="B9" t="s">
        <v>83</v>
      </c>
      <c r="D9" s="6" t="s">
        <v>1</v>
      </c>
      <c r="E9" s="15">
        <f>Loan</f>
        <v>86000</v>
      </c>
      <c r="I9" s="62" t="s">
        <v>128</v>
      </c>
      <c r="J9" s="62"/>
      <c r="L9" s="63" t="s">
        <v>129</v>
      </c>
      <c r="M9" s="63"/>
    </row>
    <row r="10" spans="2:13" x14ac:dyDescent="0.25">
      <c r="I10" s="62"/>
      <c r="J10" s="62"/>
      <c r="L10" s="63"/>
      <c r="M10" s="63"/>
    </row>
    <row r="11" spans="2:13" x14ac:dyDescent="0.25">
      <c r="B11" s="16" t="s">
        <v>25</v>
      </c>
      <c r="C11" s="16" t="s">
        <v>84</v>
      </c>
      <c r="D11" s="16" t="s">
        <v>85</v>
      </c>
      <c r="E11" s="16" t="s">
        <v>86</v>
      </c>
    </row>
    <row r="13" spans="2:13" x14ac:dyDescent="0.25">
      <c r="B13">
        <v>1</v>
      </c>
      <c r="C13" s="3">
        <f>E9</f>
        <v>86000</v>
      </c>
      <c r="D13" s="3">
        <f>IF(UnosPodataka!M20=0,"",UnosPodataka!$M$20*Anuiteti!$E$9)</f>
        <v>10320</v>
      </c>
      <c r="E13" s="3">
        <f>PMT(UnosPodataka!$M$20,UnosPodataka!$M$22,Anuiteti!$E$9)</f>
        <v>-15220.638117746592</v>
      </c>
    </row>
    <row r="14" spans="2:13" x14ac:dyDescent="0.25">
      <c r="B14">
        <f>IF(B13&lt;UnosPodataka!$M$22,B13+1,"")</f>
        <v>2</v>
      </c>
      <c r="C14" s="3">
        <f>IF(B14&lt;&gt;"",SUM(C13:E13),"")</f>
        <v>81099.361882253404</v>
      </c>
      <c r="D14" s="3">
        <f>IF(B14&lt;&gt;"",C14*UnosPodataka!$M$20,"")</f>
        <v>9731.9234258704073</v>
      </c>
      <c r="E14" s="3">
        <f>IF(B14&lt;&gt;"",PMT(UnosPodataka!$M$20,UnosPodataka!$M$22,Anuiteti!$E$9),"")</f>
        <v>-15220.638117746592</v>
      </c>
    </row>
    <row r="15" spans="2:13" x14ac:dyDescent="0.25">
      <c r="B15">
        <f>IF(B14&lt;UnosPodataka!$M$22,B14+1,"")</f>
        <v>3</v>
      </c>
      <c r="C15" s="3">
        <f t="shared" ref="C15:C32" si="0">IF(B15&lt;&gt;"",SUM(C14:E14),"")</f>
        <v>75610.647190377218</v>
      </c>
      <c r="D15" s="3">
        <f>IF(B15&lt;&gt;"",C15*UnosPodataka!$M$20,"")</f>
        <v>9073.2776628452666</v>
      </c>
      <c r="E15" s="3">
        <f>IF(B15&lt;&gt;"",PMT(UnosPodataka!$M$20,UnosPodataka!$M$22,Anuiteti!$E$9),"")</f>
        <v>-15220.638117746592</v>
      </c>
    </row>
    <row r="16" spans="2:13" x14ac:dyDescent="0.25">
      <c r="B16">
        <f>IF(B15&lt;UnosPodataka!$M$22,B15+1,"")</f>
        <v>4</v>
      </c>
      <c r="C16" s="3">
        <f t="shared" si="0"/>
        <v>69463.286735475893</v>
      </c>
      <c r="D16" s="3">
        <f>IF(B16&lt;&gt;"",C16*UnosPodataka!$M$20,"")</f>
        <v>8335.5944082571077</v>
      </c>
      <c r="E16" s="3">
        <f>IF(B16&lt;&gt;"",PMT(UnosPodataka!$M$20,UnosPodataka!$M$22,Anuiteti!$E$9),"")</f>
        <v>-15220.638117746592</v>
      </c>
    </row>
    <row r="17" spans="2:5" x14ac:dyDescent="0.25">
      <c r="B17">
        <f>IF(B16&lt;UnosPodataka!$M$22,B16+1,"")</f>
        <v>5</v>
      </c>
      <c r="C17" s="3">
        <f t="shared" si="0"/>
        <v>62578.243025986405</v>
      </c>
      <c r="D17" s="3">
        <f>IF(B17&lt;&gt;"",C17*UnosPodataka!$M$20,"")</f>
        <v>7509.3891631183687</v>
      </c>
      <c r="E17" s="3">
        <f>IF(B17&lt;&gt;"",PMT(UnosPodataka!$M$20,UnosPodataka!$M$22,Anuiteti!$E$9),"")</f>
        <v>-15220.638117746592</v>
      </c>
    </row>
    <row r="18" spans="2:5" x14ac:dyDescent="0.25">
      <c r="B18">
        <f>IF(B17&lt;UnosPodataka!$M$22,B17+1,"")</f>
        <v>6</v>
      </c>
      <c r="C18" s="3">
        <f t="shared" si="0"/>
        <v>54866.994071358175</v>
      </c>
      <c r="D18" s="3">
        <f>IF(B18&lt;&gt;"",C18*UnosPodataka!$M$20,"")</f>
        <v>6584.0392885629808</v>
      </c>
      <c r="E18" s="3">
        <f>IF(B18&lt;&gt;"",PMT(UnosPodataka!$M$20,UnosPodataka!$M$22,Anuiteti!$E$9),"")</f>
        <v>-15220.638117746592</v>
      </c>
    </row>
    <row r="19" spans="2:5" x14ac:dyDescent="0.25">
      <c r="B19">
        <f>IF(B18&lt;UnosPodataka!$M$22,B18+1,"")</f>
        <v>7</v>
      </c>
      <c r="C19" s="3">
        <f t="shared" si="0"/>
        <v>46230.395242174563</v>
      </c>
      <c r="D19" s="3">
        <f>IF(B19&lt;&gt;"",C19*UnosPodataka!$M$20,"")</f>
        <v>5547.6474290609476</v>
      </c>
      <c r="E19" s="3">
        <f>IF(B19&lt;&gt;"",PMT(UnosPodataka!$M$20,UnosPodataka!$M$22,Anuiteti!$E$9),"")</f>
        <v>-15220.638117746592</v>
      </c>
    </row>
    <row r="20" spans="2:5" x14ac:dyDescent="0.25">
      <c r="B20">
        <f>IF(B19&lt;UnosPodataka!$M$22,B19+1,"")</f>
        <v>8</v>
      </c>
      <c r="C20" s="3">
        <f t="shared" si="0"/>
        <v>36557.404553488916</v>
      </c>
      <c r="D20" s="3">
        <f>IF(B20&lt;&gt;"",C20*UnosPodataka!$M$20,"")</f>
        <v>4386.8885464186696</v>
      </c>
      <c r="E20" s="3">
        <f>IF(B20&lt;&gt;"",PMT(UnosPodataka!$M$20,UnosPodataka!$M$22,Anuiteti!$E$9),"")</f>
        <v>-15220.638117746592</v>
      </c>
    </row>
    <row r="21" spans="2:5" x14ac:dyDescent="0.25">
      <c r="B21">
        <f>IF(B20&lt;UnosPodataka!$M$22,B20+1,"")</f>
        <v>9</v>
      </c>
      <c r="C21" s="3">
        <f t="shared" si="0"/>
        <v>25723.654982160991</v>
      </c>
      <c r="D21" s="3">
        <f>IF(B21&lt;&gt;"",C21*UnosPodataka!$M$20,"")</f>
        <v>3086.8385978593187</v>
      </c>
      <c r="E21" s="3">
        <f>IF(B21&lt;&gt;"",PMT(UnosPodataka!$M$20,UnosPodataka!$M$22,Anuiteti!$E$9),"")</f>
        <v>-15220.638117746592</v>
      </c>
    </row>
    <row r="22" spans="2:5" x14ac:dyDescent="0.25">
      <c r="B22">
        <f>IF(B21&lt;UnosPodataka!$M$22,B21+1,"")</f>
        <v>10</v>
      </c>
      <c r="C22" s="3">
        <f t="shared" si="0"/>
        <v>13589.855462273717</v>
      </c>
      <c r="D22" s="3">
        <f>IF(B22&lt;&gt;"",C22*UnosPodataka!$M$20,"")</f>
        <v>1630.782655472846</v>
      </c>
      <c r="E22" s="3">
        <f>IF(B22&lt;&gt;"",PMT(UnosPodataka!$M$20,UnosPodataka!$M$22,Anuiteti!$E$9),"")</f>
        <v>-15220.638117746592</v>
      </c>
    </row>
    <row r="23" spans="2:5" x14ac:dyDescent="0.25">
      <c r="B23" t="str">
        <f>IF(B22&lt;UnosPodataka!$M$22,B22+1,"")</f>
        <v/>
      </c>
      <c r="C23" s="3" t="str">
        <f t="shared" si="0"/>
        <v/>
      </c>
      <c r="D23" s="3" t="str">
        <f>IF(B23&lt;&gt;"",C23*UnosPodataka!$M$20,"")</f>
        <v/>
      </c>
      <c r="E23" s="3" t="str">
        <f>IF(B23&lt;&gt;"",PMT(UnosPodataka!$M$20,UnosPodataka!$M$22,Anuiteti!$E$9),"")</f>
        <v/>
      </c>
    </row>
    <row r="24" spans="2:5" x14ac:dyDescent="0.25">
      <c r="B24" t="str">
        <f>IF(B23&lt;UnosPodataka!$M$22,B23+1,"")</f>
        <v/>
      </c>
      <c r="C24" s="3" t="str">
        <f t="shared" si="0"/>
        <v/>
      </c>
      <c r="D24" s="3" t="str">
        <f>IF(B24&lt;&gt;"",C24*UnosPodataka!$M$20,"")</f>
        <v/>
      </c>
      <c r="E24" s="3" t="str">
        <f>IF(B24&lt;&gt;"",PMT(UnosPodataka!$M$20,UnosPodataka!$M$22,Anuiteti!$E$9),"")</f>
        <v/>
      </c>
    </row>
    <row r="25" spans="2:5" x14ac:dyDescent="0.25">
      <c r="B25" t="str">
        <f>IF(B24&lt;UnosPodataka!$M$22,B24+1,"")</f>
        <v/>
      </c>
      <c r="C25" s="3" t="str">
        <f t="shared" si="0"/>
        <v/>
      </c>
      <c r="D25" s="3" t="str">
        <f>IF(B25&lt;&gt;"",C25*UnosPodataka!$M$20,"")</f>
        <v/>
      </c>
      <c r="E25" s="3" t="str">
        <f>IF(B25&lt;&gt;"",PMT(UnosPodataka!$M$20,UnosPodataka!$M$22,Anuiteti!$E$9),"")</f>
        <v/>
      </c>
    </row>
    <row r="26" spans="2:5" x14ac:dyDescent="0.25">
      <c r="B26" t="str">
        <f>IF(B25&lt;UnosPodataka!$M$22,B25+1,"")</f>
        <v/>
      </c>
      <c r="C26" s="3" t="str">
        <f t="shared" si="0"/>
        <v/>
      </c>
      <c r="D26" s="3" t="str">
        <f>IF(B26&lt;&gt;"",C26*UnosPodataka!$M$20,"")</f>
        <v/>
      </c>
      <c r="E26" s="3" t="str">
        <f>IF(B26&lt;&gt;"",PMT(UnosPodataka!$M$20,UnosPodataka!$M$22,Anuiteti!$E$9),"")</f>
        <v/>
      </c>
    </row>
    <row r="27" spans="2:5" x14ac:dyDescent="0.25">
      <c r="B27" t="str">
        <f>IF(B26&lt;UnosPodataka!$M$22,B26+1,"")</f>
        <v/>
      </c>
      <c r="C27" s="3" t="str">
        <f t="shared" si="0"/>
        <v/>
      </c>
      <c r="D27" s="3" t="str">
        <f>IF(B27&lt;&gt;"",C27*UnosPodataka!$M$20,"")</f>
        <v/>
      </c>
      <c r="E27" s="3" t="str">
        <f>IF(B27&lt;&gt;"",PMT(UnosPodataka!$M$20,UnosPodataka!$M$22,Anuiteti!$E$9),"")</f>
        <v/>
      </c>
    </row>
    <row r="28" spans="2:5" x14ac:dyDescent="0.25">
      <c r="B28" t="str">
        <f>IF(B27&lt;UnosPodataka!$M$22,B27+1,"")</f>
        <v/>
      </c>
      <c r="C28" s="3" t="str">
        <f t="shared" si="0"/>
        <v/>
      </c>
      <c r="D28" s="3" t="str">
        <f>IF(B28&lt;&gt;"",C28*UnosPodataka!$M$20,"")</f>
        <v/>
      </c>
      <c r="E28" s="3" t="str">
        <f>IF(B28&lt;&gt;"",PMT(UnosPodataka!$M$20,UnosPodataka!$M$22,Anuiteti!$E$9),"")</f>
        <v/>
      </c>
    </row>
    <row r="29" spans="2:5" x14ac:dyDescent="0.25">
      <c r="B29" t="str">
        <f>IF(B28&lt;UnosPodataka!$M$22,B28+1,"")</f>
        <v/>
      </c>
      <c r="C29" s="3" t="str">
        <f t="shared" si="0"/>
        <v/>
      </c>
      <c r="D29" s="3" t="str">
        <f>IF(B29&lt;&gt;"",C29*UnosPodataka!$M$20,"")</f>
        <v/>
      </c>
      <c r="E29" s="3" t="str">
        <f>IF(B29&lt;&gt;"",PMT(UnosPodataka!$M$20,UnosPodataka!$M$22,Anuiteti!$E$9),"")</f>
        <v/>
      </c>
    </row>
    <row r="30" spans="2:5" x14ac:dyDescent="0.25">
      <c r="B30" t="str">
        <f>IF(B29&lt;UnosPodataka!$M$22,B29+1,"")</f>
        <v/>
      </c>
      <c r="C30" s="3" t="str">
        <f t="shared" si="0"/>
        <v/>
      </c>
      <c r="D30" s="3" t="str">
        <f>IF(B30&lt;&gt;"",C30*UnosPodataka!$M$20,"")</f>
        <v/>
      </c>
      <c r="E30" s="3" t="str">
        <f>IF(B30&lt;&gt;"",PMT(UnosPodataka!$M$20,UnosPodataka!$M$22,Anuiteti!$E$9),"")</f>
        <v/>
      </c>
    </row>
    <row r="31" spans="2:5" x14ac:dyDescent="0.25">
      <c r="B31" t="str">
        <f>IF(B30&lt;UnosPodataka!$M$22,B30+1,"")</f>
        <v/>
      </c>
      <c r="C31" s="3" t="str">
        <f t="shared" si="0"/>
        <v/>
      </c>
      <c r="D31" s="3" t="str">
        <f>IF(B31&lt;&gt;"",C31*UnosPodataka!$M$20,"")</f>
        <v/>
      </c>
      <c r="E31" s="3" t="str">
        <f>IF(B31&lt;&gt;"",PMT(UnosPodataka!$M$20,UnosPodataka!$M$22,Anuiteti!$E$9),"")</f>
        <v/>
      </c>
    </row>
    <row r="32" spans="2:5" x14ac:dyDescent="0.25">
      <c r="B32" t="str">
        <f>IF(B31&lt;UnosPodataka!$M$22,B31+1,"")</f>
        <v/>
      </c>
      <c r="C32" s="3" t="str">
        <f t="shared" si="0"/>
        <v/>
      </c>
      <c r="D32" s="3" t="str">
        <f>IF(B32&lt;&gt;"",C32*UnosPodataka!$M$20,"")</f>
        <v/>
      </c>
      <c r="E32" s="3" t="str">
        <f>IF(B32&lt;&gt;"",PMT(UnosPodataka!$M$20,UnosPodataka!$M$22,Anuiteti!$E$9),"")</f>
        <v/>
      </c>
    </row>
  </sheetData>
  <sheetProtection selectLockedCells="1"/>
  <mergeCells count="4">
    <mergeCell ref="B7:G7"/>
    <mergeCell ref="I9:J10"/>
    <mergeCell ref="L9:M10"/>
    <mergeCell ref="D3:G3"/>
  </mergeCells>
  <hyperlinks>
    <hyperlink ref="I9:J10" location="TrosakEnergije!N4" display="NAZAD"/>
    <hyperlink ref="L9:M10" location="Fina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0"/>
  <sheetViews>
    <sheetView showZeros="0" topLeftCell="A5" zoomScale="80" zoomScaleNormal="80" workbookViewId="0">
      <selection activeCell="E29" sqref="E29"/>
    </sheetView>
  </sheetViews>
  <sheetFormatPr defaultRowHeight="15" x14ac:dyDescent="0.25"/>
  <cols>
    <col min="4" max="4" width="13" customWidth="1"/>
    <col min="5" max="5" width="12.140625" customWidth="1"/>
    <col min="6" max="6" width="11.42578125" customWidth="1"/>
    <col min="7" max="7" width="11.28515625" customWidth="1"/>
    <col min="8" max="8" width="12.425781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9" width="12.42578125" customWidth="1"/>
    <col min="20" max="20" width="13.140625" customWidth="1"/>
    <col min="21" max="21" width="12.85546875" customWidth="1"/>
    <col min="22" max="22" width="12.7109375" customWidth="1"/>
    <col min="23" max="23" width="12.42578125" customWidth="1"/>
    <col min="24" max="25" width="12.5703125" customWidth="1"/>
  </cols>
  <sheetData>
    <row r="3" spans="1:25" ht="16.5" x14ac:dyDescent="0.35">
      <c r="F3" s="58" t="s">
        <v>176</v>
      </c>
      <c r="G3" s="58"/>
      <c r="H3" s="58"/>
      <c r="I3" s="58"/>
    </row>
    <row r="7" spans="1:25" ht="21" x14ac:dyDescent="0.35">
      <c r="A7" s="75" t="s">
        <v>177</v>
      </c>
      <c r="B7" s="75"/>
      <c r="C7" s="75"/>
      <c r="D7" s="75"/>
      <c r="I7" s="76" t="s">
        <v>128</v>
      </c>
      <c r="J7" s="76"/>
      <c r="N7" s="77" t="s">
        <v>129</v>
      </c>
      <c r="O7" s="77"/>
    </row>
    <row r="9" spans="1:25" x14ac:dyDescent="0.25">
      <c r="A9" s="61" t="s">
        <v>98</v>
      </c>
      <c r="B9" s="61"/>
      <c r="C9" s="61"/>
      <c r="D9" s="61"/>
      <c r="E9" s="16">
        <v>0</v>
      </c>
      <c r="F9" s="16">
        <v>1</v>
      </c>
      <c r="G9" s="16">
        <f>IF(F9&lt;UnosPodataka!$M$25,FinaIndicators!F9+1,"")</f>
        <v>2</v>
      </c>
      <c r="H9" s="16">
        <f>IF(G9&lt;UnosPodataka!$M$25,FinaIndicators!G9+1,"")</f>
        <v>3</v>
      </c>
      <c r="I9" s="16">
        <f>IF(H9&lt;UnosPodataka!$M$25,FinaIndicators!H9+1,"")</f>
        <v>4</v>
      </c>
      <c r="J9" s="16">
        <f>IF(I9&lt;UnosPodataka!$M$25,FinaIndicators!I9+1,"")</f>
        <v>5</v>
      </c>
      <c r="K9" s="16">
        <f>IF(J9&lt;UnosPodataka!$M$25,FinaIndicators!J9+1,"")</f>
        <v>6</v>
      </c>
      <c r="L9" s="16">
        <f>IF(K9&lt;UnosPodataka!$M$25,FinaIndicators!K9+1,"")</f>
        <v>7</v>
      </c>
      <c r="M9" s="16">
        <f>IF(L9&lt;UnosPodataka!$M$25,FinaIndicators!L9+1,"")</f>
        <v>8</v>
      </c>
      <c r="N9" s="16">
        <f>IF(M9&lt;UnosPodataka!$M$25,FinaIndicators!M9+1,"")</f>
        <v>9</v>
      </c>
      <c r="O9" s="16">
        <f>IF(N9&lt;UnosPodataka!$M$25,FinaIndicators!N9+1,"")</f>
        <v>10</v>
      </c>
      <c r="P9" s="16">
        <f>IF(O9&lt;UnosPodataka!$M$25,FinaIndicators!O9+1,"")</f>
        <v>11</v>
      </c>
      <c r="Q9" s="16">
        <f>IF(P9&lt;UnosPodataka!$M$25,FinaIndicators!P9+1,"")</f>
        <v>12</v>
      </c>
      <c r="R9" s="16">
        <f>IF(Q9&lt;UnosPodataka!$M$25,FinaIndicators!Q9+1,"")</f>
        <v>13</v>
      </c>
      <c r="S9" s="16">
        <f>IF(R9&lt;UnosPodataka!$M$25,FinaIndicators!R9+1,"")</f>
        <v>14</v>
      </c>
      <c r="T9" s="16">
        <f>IF(S9&lt;UnosPodataka!$M$25,FinaIndicators!S9+1,"")</f>
        <v>15</v>
      </c>
      <c r="U9" s="16">
        <f>IF(T9&lt;UnosPodataka!$M$25,FinaIndicators!T9+1,"")</f>
        <v>16</v>
      </c>
      <c r="V9" s="16">
        <f>IF(U9&lt;UnosPodataka!$M$25,FinaIndicators!U9+1,"")</f>
        <v>17</v>
      </c>
      <c r="W9" s="16">
        <f>IF(V9&lt;UnosPodataka!$M$25,FinaIndicators!V9+1,"")</f>
        <v>18</v>
      </c>
      <c r="X9" s="16">
        <f>IF(W9&lt;UnosPodataka!$M$25,FinaIndicators!W9+1,"")</f>
        <v>19</v>
      </c>
      <c r="Y9" s="16">
        <f>IF(X9&lt;UnosPodataka!$M$25,FinaIndicators!X9+1,"")</f>
        <v>20</v>
      </c>
    </row>
    <row r="11" spans="1:25" x14ac:dyDescent="0.25">
      <c r="A11" s="68" t="s">
        <v>87</v>
      </c>
      <c r="B11" s="68"/>
      <c r="C11" s="68"/>
      <c r="D11" s="68"/>
      <c r="E11" s="3">
        <f>Loan</f>
        <v>86000</v>
      </c>
      <c r="I11" s="47">
        <f>+CARBON</f>
        <v>0.19450000000000003</v>
      </c>
      <c r="J11">
        <f>+CO2Tax</f>
        <v>97.44</v>
      </c>
      <c r="K11">
        <f>+HPrice</f>
        <v>8900</v>
      </c>
    </row>
    <row r="12" spans="1:25" x14ac:dyDescent="0.25">
      <c r="A12" s="68" t="s">
        <v>88</v>
      </c>
      <c r="B12" s="68"/>
      <c r="C12" s="68"/>
      <c r="D12" s="68"/>
      <c r="E12" s="3">
        <f>IF(Equity=0,Loan,Equity)</f>
        <v>40000</v>
      </c>
      <c r="I12">
        <f>+HEAT</f>
        <v>683.28</v>
      </c>
    </row>
    <row r="13" spans="1:25" x14ac:dyDescent="0.25">
      <c r="A13" s="68" t="s">
        <v>144</v>
      </c>
      <c r="B13" s="68"/>
      <c r="C13" s="68"/>
      <c r="D13" s="68"/>
      <c r="E13" s="3">
        <f>+SUM(UnosPodataka!F22:F24)</f>
        <v>340000</v>
      </c>
    </row>
    <row r="14" spans="1:25" x14ac:dyDescent="0.25">
      <c r="A14" s="68" t="s">
        <v>89</v>
      </c>
      <c r="B14" s="68"/>
      <c r="C14" s="68"/>
      <c r="D14" s="68"/>
      <c r="F14">
        <f t="shared" ref="F14:Y14" si="0">IF(F9&lt;&gt;"",HEAT,"")</f>
        <v>683.28</v>
      </c>
      <c r="G14">
        <f t="shared" si="0"/>
        <v>683.28</v>
      </c>
      <c r="H14">
        <f t="shared" si="0"/>
        <v>683.28</v>
      </c>
      <c r="I14">
        <f t="shared" si="0"/>
        <v>683.28</v>
      </c>
      <c r="J14">
        <f t="shared" si="0"/>
        <v>683.28</v>
      </c>
      <c r="K14">
        <f t="shared" si="0"/>
        <v>683.28</v>
      </c>
      <c r="L14">
        <f t="shared" si="0"/>
        <v>683.28</v>
      </c>
      <c r="M14">
        <f t="shared" si="0"/>
        <v>683.28</v>
      </c>
      <c r="N14">
        <f t="shared" si="0"/>
        <v>683.28</v>
      </c>
      <c r="O14">
        <f t="shared" si="0"/>
        <v>683.28</v>
      </c>
      <c r="P14">
        <f t="shared" si="0"/>
        <v>683.28</v>
      </c>
      <c r="Q14">
        <f t="shared" si="0"/>
        <v>683.28</v>
      </c>
      <c r="R14">
        <f t="shared" si="0"/>
        <v>683.28</v>
      </c>
      <c r="S14">
        <f t="shared" si="0"/>
        <v>683.28</v>
      </c>
      <c r="T14">
        <f t="shared" si="0"/>
        <v>683.28</v>
      </c>
      <c r="U14">
        <f t="shared" si="0"/>
        <v>683.28</v>
      </c>
      <c r="V14">
        <f t="shared" si="0"/>
        <v>683.28</v>
      </c>
      <c r="W14">
        <f t="shared" si="0"/>
        <v>683.28</v>
      </c>
      <c r="X14">
        <f t="shared" si="0"/>
        <v>683.28</v>
      </c>
      <c r="Y14">
        <f t="shared" si="0"/>
        <v>683.28</v>
      </c>
    </row>
    <row r="15" spans="1:25" x14ac:dyDescent="0.25">
      <c r="A15" s="68" t="s">
        <v>90</v>
      </c>
      <c r="B15" s="68"/>
      <c r="C15" s="68"/>
      <c r="D15" s="68"/>
      <c r="F15" s="3">
        <f t="shared" ref="F15:Y15" si="1">IF(F9&lt;&gt;"",EPOW*WHOUR,"")</f>
        <v>72</v>
      </c>
      <c r="G15" s="3">
        <f t="shared" si="1"/>
        <v>72</v>
      </c>
      <c r="H15" s="3">
        <f t="shared" si="1"/>
        <v>72</v>
      </c>
      <c r="I15" s="3">
        <f t="shared" si="1"/>
        <v>72</v>
      </c>
      <c r="J15" s="3">
        <f t="shared" si="1"/>
        <v>72</v>
      </c>
      <c r="K15" s="3">
        <f t="shared" si="1"/>
        <v>72</v>
      </c>
      <c r="L15" s="3">
        <f t="shared" si="1"/>
        <v>72</v>
      </c>
      <c r="M15" s="3">
        <f t="shared" si="1"/>
        <v>72</v>
      </c>
      <c r="N15" s="3">
        <f t="shared" si="1"/>
        <v>72</v>
      </c>
      <c r="O15" s="3">
        <f t="shared" si="1"/>
        <v>72</v>
      </c>
      <c r="P15" s="3">
        <f t="shared" si="1"/>
        <v>72</v>
      </c>
      <c r="Q15" s="3">
        <f t="shared" si="1"/>
        <v>72</v>
      </c>
      <c r="R15" s="3">
        <f t="shared" si="1"/>
        <v>72</v>
      </c>
      <c r="S15" s="3">
        <f t="shared" si="1"/>
        <v>72</v>
      </c>
      <c r="T15" s="3">
        <f t="shared" si="1"/>
        <v>72</v>
      </c>
      <c r="U15" s="3">
        <f t="shared" si="1"/>
        <v>72</v>
      </c>
      <c r="V15" s="3">
        <f t="shared" si="1"/>
        <v>72</v>
      </c>
      <c r="W15" s="3">
        <f t="shared" si="1"/>
        <v>72</v>
      </c>
      <c r="X15" s="3">
        <f t="shared" si="1"/>
        <v>72</v>
      </c>
      <c r="Y15" s="3">
        <f t="shared" si="1"/>
        <v>72</v>
      </c>
    </row>
    <row r="16" spans="1:25" x14ac:dyDescent="0.25">
      <c r="A16" s="22"/>
      <c r="B16" s="22"/>
      <c r="C16" s="22"/>
      <c r="D16" s="2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61" t="s">
        <v>166</v>
      </c>
      <c r="B17" s="61"/>
      <c r="C17" s="61"/>
      <c r="D17" s="6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8" t="s">
        <v>91</v>
      </c>
      <c r="B18" s="68"/>
      <c r="C18" s="68"/>
      <c r="D18" s="68"/>
      <c r="F18" s="3">
        <f t="shared" ref="F18:Y18" si="2">IF(F9&lt;&gt;"",F14*etagrid*HPrice/Kurs_EUR,"")</f>
        <v>46583.704006332504</v>
      </c>
      <c r="G18" s="3">
        <f t="shared" si="2"/>
        <v>46583.704006332504</v>
      </c>
      <c r="H18" s="3">
        <f t="shared" si="2"/>
        <v>46583.704006332504</v>
      </c>
      <c r="I18" s="3">
        <f t="shared" si="2"/>
        <v>46583.704006332504</v>
      </c>
      <c r="J18" s="3">
        <f t="shared" si="2"/>
        <v>46583.704006332504</v>
      </c>
      <c r="K18" s="3">
        <f t="shared" si="2"/>
        <v>46583.704006332504</v>
      </c>
      <c r="L18" s="3">
        <f t="shared" si="2"/>
        <v>46583.704006332504</v>
      </c>
      <c r="M18" s="3">
        <f t="shared" si="2"/>
        <v>46583.704006332504</v>
      </c>
      <c r="N18" s="3">
        <f t="shared" si="2"/>
        <v>46583.704006332504</v>
      </c>
      <c r="O18" s="3">
        <f t="shared" si="2"/>
        <v>46583.704006332504</v>
      </c>
      <c r="P18" s="3">
        <f t="shared" si="2"/>
        <v>46583.704006332504</v>
      </c>
      <c r="Q18" s="3">
        <f t="shared" si="2"/>
        <v>46583.704006332504</v>
      </c>
      <c r="R18" s="3">
        <f t="shared" si="2"/>
        <v>46583.704006332504</v>
      </c>
      <c r="S18" s="3">
        <f t="shared" si="2"/>
        <v>46583.704006332504</v>
      </c>
      <c r="T18" s="3">
        <f t="shared" si="2"/>
        <v>46583.704006332504</v>
      </c>
      <c r="U18" s="3">
        <f t="shared" si="2"/>
        <v>46583.704006332504</v>
      </c>
      <c r="V18" s="3">
        <f t="shared" si="2"/>
        <v>46583.704006332504</v>
      </c>
      <c r="W18" s="3">
        <f t="shared" si="2"/>
        <v>46583.704006332504</v>
      </c>
      <c r="X18" s="3">
        <f t="shared" si="2"/>
        <v>46583.704006332504</v>
      </c>
      <c r="Y18" s="3">
        <f t="shared" si="2"/>
        <v>46583.704006332504</v>
      </c>
    </row>
    <row r="19" spans="1:25" x14ac:dyDescent="0.25">
      <c r="A19" s="74" t="s">
        <v>101</v>
      </c>
      <c r="B19" s="74"/>
      <c r="C19" s="74"/>
      <c r="D19" s="74"/>
      <c r="E19" s="29"/>
      <c r="F19" s="30">
        <f>IF(F9&lt;&gt;"",F18,"")</f>
        <v>46583.704006332504</v>
      </c>
      <c r="G19" s="30">
        <f t="shared" ref="G19:Y19" si="3">IF(G9&lt;&gt;"",G18,"")</f>
        <v>46583.704006332504</v>
      </c>
      <c r="H19" s="30">
        <f t="shared" si="3"/>
        <v>46583.704006332504</v>
      </c>
      <c r="I19" s="30">
        <f t="shared" si="3"/>
        <v>46583.704006332504</v>
      </c>
      <c r="J19" s="30">
        <f t="shared" si="3"/>
        <v>46583.704006332504</v>
      </c>
      <c r="K19" s="30">
        <f t="shared" si="3"/>
        <v>46583.704006332504</v>
      </c>
      <c r="L19" s="30">
        <f t="shared" si="3"/>
        <v>46583.704006332504</v>
      </c>
      <c r="M19" s="30">
        <f t="shared" si="3"/>
        <v>46583.704006332504</v>
      </c>
      <c r="N19" s="30">
        <f t="shared" si="3"/>
        <v>46583.704006332504</v>
      </c>
      <c r="O19" s="30">
        <f t="shared" si="3"/>
        <v>46583.704006332504</v>
      </c>
      <c r="P19" s="30">
        <f t="shared" si="3"/>
        <v>46583.704006332504</v>
      </c>
      <c r="Q19" s="30">
        <f t="shared" si="3"/>
        <v>46583.704006332504</v>
      </c>
      <c r="R19" s="30">
        <f t="shared" si="3"/>
        <v>46583.704006332504</v>
      </c>
      <c r="S19" s="30">
        <f t="shared" si="3"/>
        <v>46583.704006332504</v>
      </c>
      <c r="T19" s="30">
        <f t="shared" si="3"/>
        <v>46583.704006332504</v>
      </c>
      <c r="U19" s="30">
        <f t="shared" si="3"/>
        <v>46583.704006332504</v>
      </c>
      <c r="V19" s="30">
        <f t="shared" si="3"/>
        <v>46583.704006332504</v>
      </c>
      <c r="W19" s="30">
        <f t="shared" si="3"/>
        <v>46583.704006332504</v>
      </c>
      <c r="X19" s="30">
        <f t="shared" si="3"/>
        <v>46583.704006332504</v>
      </c>
      <c r="Y19" s="30">
        <f t="shared" si="3"/>
        <v>46583.704006332504</v>
      </c>
    </row>
    <row r="20" spans="1:25" x14ac:dyDescent="0.25">
      <c r="A20" s="69"/>
      <c r="B20" s="69"/>
      <c r="C20" s="69"/>
      <c r="D20" s="69"/>
    </row>
    <row r="21" spans="1:25" x14ac:dyDescent="0.25">
      <c r="A21" s="61" t="s">
        <v>145</v>
      </c>
      <c r="B21" s="61"/>
      <c r="C21" s="61"/>
      <c r="D21" s="61"/>
    </row>
    <row r="22" spans="1:25" x14ac:dyDescent="0.25">
      <c r="A22" s="68" t="s">
        <v>146</v>
      </c>
      <c r="B22" s="68"/>
      <c r="C22" s="68"/>
      <c r="D22" s="68"/>
      <c r="F22" s="3">
        <f>IF(F9&gt;UnosPodataka!$M$22,"",-VLOOKUP(F9,Anuiteti!$B$13:$E$32,3,FALSE))</f>
        <v>-10320</v>
      </c>
      <c r="G22" s="3">
        <f>IF(G9&gt;UnosPodataka!$M$22,"",-VLOOKUP(G9,Anuiteti!$B$13:$E$32,3,FALSE))</f>
        <v>-9731.9234258704073</v>
      </c>
      <c r="H22" s="3">
        <f>IF(H9&gt;UnosPodataka!$M$22,"",-VLOOKUP(H9,Anuiteti!$B$13:$E$32,3,FALSE))</f>
        <v>-9073.2776628452666</v>
      </c>
      <c r="I22" s="3">
        <f>IF(I9&gt;UnosPodataka!$M$22,"",-VLOOKUP(I9,Anuiteti!$B$13:$E$32,3,FALSE))</f>
        <v>-8335.5944082571077</v>
      </c>
      <c r="J22" s="3">
        <f>IF(J9&gt;UnosPodataka!$M$22,"",-VLOOKUP(J9,Anuiteti!$B$13:$E$32,3,FALSE))</f>
        <v>-7509.3891631183687</v>
      </c>
      <c r="K22" s="3">
        <f>IF(K9&gt;UnosPodataka!$M$22,"",-VLOOKUP(K9,Anuiteti!$B$13:$E$32,3,FALSE))</f>
        <v>-6584.0392885629808</v>
      </c>
      <c r="L22" s="3">
        <f>IF(L9&gt;UnosPodataka!$M$22,"",-VLOOKUP(L9,Anuiteti!$B$13:$E$32,3,FALSE))</f>
        <v>-5547.6474290609476</v>
      </c>
      <c r="M22" s="3">
        <f>IF(M9&gt;UnosPodataka!$M$22,"",-VLOOKUP(M9,Anuiteti!$B$13:$E$32,3,FALSE))</f>
        <v>-4386.8885464186696</v>
      </c>
      <c r="N22" s="3">
        <f>IF(N9&gt;UnosPodataka!$M$22,"",-VLOOKUP(N9,Anuiteti!$B$13:$E$32,3,FALSE))</f>
        <v>-3086.8385978593187</v>
      </c>
      <c r="O22" s="3">
        <f>IF(O9&gt;UnosPodataka!$M$22,"",-VLOOKUP(O9,Anuiteti!$B$13:$E$32,3,FALSE))</f>
        <v>-1630.782655472846</v>
      </c>
      <c r="P22" s="3" t="str">
        <f>IF(P9&gt;UnosPodataka!$M$22,"",-VLOOKUP(P9,Anuiteti!$B$13:$E$32,3,FALSE))</f>
        <v/>
      </c>
      <c r="Q22" s="3" t="str">
        <f>IF(Q9&gt;UnosPodataka!$M$22,"",-VLOOKUP(Q9,Anuiteti!$B$13:$E$32,3,FALSE))</f>
        <v/>
      </c>
      <c r="R22" s="3" t="str">
        <f>IF(R9&gt;UnosPodataka!$M$22,"",-VLOOKUP(R9,Anuiteti!$B$13:$E$32,3,FALSE))</f>
        <v/>
      </c>
      <c r="S22" s="3" t="str">
        <f>IF(S9&gt;UnosPodataka!$M$22,"",-VLOOKUP(S9,Anuiteti!$B$13:$E$32,3,FALSE))</f>
        <v/>
      </c>
      <c r="T22" s="3" t="str">
        <f>IF(T9&gt;UnosPodataka!$M$22,"",-VLOOKUP(T9,Anuiteti!$B$13:$E$32,3,FALSE))</f>
        <v/>
      </c>
      <c r="U22" s="3" t="str">
        <f>IF(U9&gt;UnosPodataka!$M$22,"",-VLOOKUP(U9,Anuiteti!$B$13:$E$32,3,FALSE))</f>
        <v/>
      </c>
      <c r="V22" s="3" t="str">
        <f>IF(V9&gt;UnosPodataka!$M$22,"",-VLOOKUP(V9,Anuiteti!$B$13:$E$32,3,FALSE))</f>
        <v/>
      </c>
      <c r="W22" s="3" t="str">
        <f>IF(W9&gt;UnosPodataka!$M$22,"",-VLOOKUP(W9,Anuiteti!$B$13:$E$32,3,FALSE))</f>
        <v/>
      </c>
      <c r="X22" s="3" t="str">
        <f>IF(X9&gt;UnosPodataka!$M$22,"",-VLOOKUP(X9,Anuiteti!$B$13:$E$32,3,FALSE))</f>
        <v/>
      </c>
      <c r="Y22" s="3" t="str">
        <f>IF(Y9&gt;UnosPodataka!$M$22,"",-VLOOKUP(Y9,Anuiteti!$B$13:$E$32,3,FALSE))</f>
        <v/>
      </c>
    </row>
    <row r="23" spans="1:25" x14ac:dyDescent="0.25">
      <c r="A23" s="22" t="s">
        <v>147</v>
      </c>
      <c r="B23" s="22"/>
      <c r="C23" s="22"/>
      <c r="D23" s="22"/>
      <c r="F23" s="3">
        <f>IF(F22="",0,IF(F9&gt;UnosPodataka!$M$25,"",VLOOKUP(F9,Anuiteti!$B$13:$E$32,4,FALSE)+VLOOKUP(F9,Anuiteti!$B$13:$E$32,3,FALSE)))</f>
        <v>-4900.6381177465919</v>
      </c>
      <c r="G23" s="3">
        <f>IF(G22="",0,IF(G9&gt;UnosPodataka!$M$25,"",VLOOKUP(G9,Anuiteti!$B$13:$E$32,4,FALSE)+VLOOKUP(G9,Anuiteti!$B$13:$E$32,3,FALSE)))</f>
        <v>-5488.7146918761846</v>
      </c>
      <c r="H23" s="3">
        <f>IF(H22="",0,IF(H9&gt;UnosPodataka!$M$25,"",VLOOKUP(H9,Anuiteti!$B$13:$E$32,4,FALSE)+VLOOKUP(H9,Anuiteti!$B$13:$E$32,3,FALSE)))</f>
        <v>-6147.3604549013253</v>
      </c>
      <c r="I23" s="3">
        <f>IF(I22="",0,IF(I9&gt;UnosPodataka!$M$25,"",VLOOKUP(I9,Anuiteti!$B$13:$E$32,4,FALSE)+VLOOKUP(I9,Anuiteti!$B$13:$E$32,3,FALSE)))</f>
        <v>-6885.0437094894842</v>
      </c>
      <c r="J23" s="3">
        <f>IF(J22="",0,IF(J9&gt;UnosPodataka!$M$25,"",VLOOKUP(J9,Anuiteti!$B$13:$E$32,4,FALSE)+VLOOKUP(J9,Anuiteti!$B$13:$E$32,3,FALSE)))</f>
        <v>-7711.2489546282231</v>
      </c>
      <c r="K23" s="3">
        <f>IF(K22="",0,IF(K9&gt;UnosPodataka!$M$25,"",VLOOKUP(K9,Anuiteti!$B$13:$E$32,4,FALSE)+VLOOKUP(K9,Anuiteti!$B$13:$E$32,3,FALSE)))</f>
        <v>-8636.5988291836111</v>
      </c>
      <c r="L23" s="3">
        <f>IF(L22="",0,IF(L9&gt;UnosPodataka!$M$25,"",VLOOKUP(L9,Anuiteti!$B$13:$E$32,4,FALSE)+VLOOKUP(L9,Anuiteti!$B$13:$E$32,3,FALSE)))</f>
        <v>-9672.9906886856443</v>
      </c>
      <c r="M23" s="3">
        <f>IF(M22="",0,IF(M9&gt;UnosPodataka!$M$25,"",VLOOKUP(M9,Anuiteti!$B$13:$E$32,4,FALSE)+VLOOKUP(M9,Anuiteti!$B$13:$E$32,3,FALSE)))</f>
        <v>-10833.749571327922</v>
      </c>
      <c r="N23" s="3">
        <f>IF(N22="",0,IF(N9&gt;UnosPodataka!$M$25,"",VLOOKUP(N9,Anuiteti!$B$13:$E$32,4,FALSE)+VLOOKUP(N9,Anuiteti!$B$13:$E$32,3,FALSE)))</f>
        <v>-12133.799519887274</v>
      </c>
      <c r="O23" s="3">
        <f>IF(O22="",0,IF(O9&gt;UnosPodataka!$M$25,"",VLOOKUP(O9,Anuiteti!$B$13:$E$32,4,FALSE)+VLOOKUP(O9,Anuiteti!$B$13:$E$32,3,FALSE)))</f>
        <v>-13589.855462273747</v>
      </c>
      <c r="P23" s="3">
        <f>IF(P22="",0,IF(P9&gt;UnosPodataka!$M$25,"",VLOOKUP(P9,Anuiteti!$B$13:$E$32,4,FALSE)+VLOOKUP(P9,Anuiteti!$B$13:$E$32,3,FALSE)))</f>
        <v>0</v>
      </c>
      <c r="Q23" s="3">
        <f>IF(Q22="",0,IF(Q9&gt;UnosPodataka!$M$25,"",VLOOKUP(Q9,Anuiteti!$B$13:$E$32,4,FALSE)+VLOOKUP(Q9,Anuiteti!$B$13:$E$32,3,FALSE)))</f>
        <v>0</v>
      </c>
      <c r="R23" s="3">
        <f>IF(R22="",0,IF(R9&gt;UnosPodataka!$M$25,"",VLOOKUP(R9,Anuiteti!$B$13:$E$32,4,FALSE)+VLOOKUP(R9,Anuiteti!$B$13:$E$32,3,FALSE)))</f>
        <v>0</v>
      </c>
      <c r="S23" s="3">
        <f>IF(S22="",0,IF(S9&gt;UnosPodataka!$M$25,"",VLOOKUP(S9,Anuiteti!$B$13:$E$32,4,FALSE)+VLOOKUP(S9,Anuiteti!$B$13:$E$32,3,FALSE)))</f>
        <v>0</v>
      </c>
      <c r="T23" s="3">
        <f>IF(T22="",0,IF(T9&gt;UnosPodataka!$M$25,"",VLOOKUP(T9,Anuiteti!$B$13:$E$32,4,FALSE)+VLOOKUP(T9,Anuiteti!$B$13:$E$32,3,FALSE)))</f>
        <v>0</v>
      </c>
      <c r="U23" s="3">
        <f>IF(U22="",0,IF(U9&gt;UnosPodataka!$M$25,"",VLOOKUP(U9,Anuiteti!$B$13:$E$32,4,FALSE)+VLOOKUP(U9,Anuiteti!$B$13:$E$32,3,FALSE)))</f>
        <v>0</v>
      </c>
      <c r="V23" s="3">
        <f>IF(V22="",0,IF(V9&gt;UnosPodataka!$M$25,"",VLOOKUP(V9,Anuiteti!$B$13:$E$32,4,FALSE)+VLOOKUP(V9,Anuiteti!$B$13:$E$32,3,FALSE)))</f>
        <v>0</v>
      </c>
      <c r="W23" s="3">
        <f>IF(W22="",0,IF(W9&gt;UnosPodataka!$M$25,"",VLOOKUP(W9,Anuiteti!$B$13:$E$32,4,FALSE)+VLOOKUP(W9,Anuiteti!$B$13:$E$32,3,FALSE)))</f>
        <v>0</v>
      </c>
      <c r="X23" s="3">
        <f>IF(X22="",0,IF(X9&gt;UnosPodataka!$M$25,"",VLOOKUP(X9,Anuiteti!$B$13:$E$32,4,FALSE)+VLOOKUP(X9,Anuiteti!$B$13:$E$32,3,FALSE)))</f>
        <v>0</v>
      </c>
      <c r="Y23" s="3">
        <f>IF(Y22="",0,IF(Y9&gt;UnosPodataka!$M$25,"",VLOOKUP(Y9,Anuiteti!$B$13:$E$32,4,FALSE)+VLOOKUP(Y9,Anuiteti!$B$13:$E$32,3,FALSE)))</f>
        <v>0</v>
      </c>
    </row>
    <row r="24" spans="1:25" x14ac:dyDescent="0.25">
      <c r="A24" s="68" t="s">
        <v>92</v>
      </c>
      <c r="B24" s="68"/>
      <c r="C24" s="68"/>
      <c r="D24" s="68"/>
      <c r="F24" s="3">
        <f>IF(F9&lt;&gt;"",-UnosPodataka!$M$9,"")</f>
        <v>-100</v>
      </c>
      <c r="G24" s="3">
        <f>IF(G9&lt;&gt;"",-UnosPodataka!$M$9,"")</f>
        <v>-100</v>
      </c>
      <c r="H24" s="3">
        <f>IF(H9&lt;&gt;"",-UnosPodataka!$M$9,"")</f>
        <v>-100</v>
      </c>
      <c r="I24" s="3">
        <f>IF(I9&lt;&gt;"",-UnosPodataka!$M$9,"")</f>
        <v>-100</v>
      </c>
      <c r="J24" s="3">
        <f>IF(J9&lt;&gt;"",-UnosPodataka!$M$9,"")</f>
        <v>-100</v>
      </c>
      <c r="K24" s="3">
        <f>IF(K9&lt;&gt;"",-UnosPodataka!$M$9,"")</f>
        <v>-100</v>
      </c>
      <c r="L24" s="3">
        <f>IF(L9&lt;&gt;"",-UnosPodataka!$M$9,"")</f>
        <v>-100</v>
      </c>
      <c r="M24" s="3">
        <f>IF(M9&lt;&gt;"",-UnosPodataka!$M$9,"")</f>
        <v>-100</v>
      </c>
      <c r="N24" s="3">
        <f>IF(N9&lt;&gt;"",-UnosPodataka!$M$9,"")</f>
        <v>-100</v>
      </c>
      <c r="O24" s="3">
        <f>IF(O9&lt;&gt;"",-UnosPodataka!$M$9,"")</f>
        <v>-100</v>
      </c>
      <c r="P24" s="3">
        <f>IF(P9&lt;&gt;"",-UnosPodataka!$M$9,"")</f>
        <v>-100</v>
      </c>
      <c r="Q24" s="3">
        <f>IF(Q9&lt;&gt;"",-UnosPodataka!$M$9,"")</f>
        <v>-100</v>
      </c>
      <c r="R24" s="3">
        <f>IF(R9&lt;&gt;"",-UnosPodataka!$M$9,"")</f>
        <v>-100</v>
      </c>
      <c r="S24" s="3">
        <f>IF(S9&lt;&gt;"",-UnosPodataka!$M$9,"")</f>
        <v>-100</v>
      </c>
      <c r="T24" s="3">
        <f>IF(T9&lt;&gt;"",-UnosPodataka!$M$9,"")</f>
        <v>-100</v>
      </c>
      <c r="U24" s="3">
        <f>IF(U9&lt;&gt;"",-UnosPodataka!$M$9,"")</f>
        <v>-100</v>
      </c>
      <c r="V24" s="3">
        <f>IF(V9&lt;&gt;"",-UnosPodataka!$M$9,"")</f>
        <v>-100</v>
      </c>
      <c r="W24" s="3">
        <f>IF(W9&lt;&gt;"",-UnosPodataka!$M$9,"")</f>
        <v>-100</v>
      </c>
      <c r="X24" s="3">
        <f>IF(X9&lt;&gt;"",-UnosPodataka!$M$9,"")</f>
        <v>-100</v>
      </c>
      <c r="Y24" s="3">
        <f>IF(Y9&lt;&gt;"",-UnosPodataka!$M$9,"")</f>
        <v>-100</v>
      </c>
    </row>
    <row r="25" spans="1:25" x14ac:dyDescent="0.25">
      <c r="A25" s="68" t="s">
        <v>93</v>
      </c>
      <c r="B25" s="68"/>
      <c r="C25" s="68"/>
      <c r="D25" s="68"/>
      <c r="F25" s="3">
        <f>IF(F9&lt;&gt;"",-Investment*UnosPodataka!$M$11,"")</f>
        <v>-13980</v>
      </c>
      <c r="G25" s="3">
        <f>IF(G9&lt;&gt;"",-Investment*UnosPodataka!$M$11,"")</f>
        <v>-13980</v>
      </c>
      <c r="H25" s="3">
        <f>IF(H9&lt;&gt;"",-Investment*UnosPodataka!$M$11,"")</f>
        <v>-13980</v>
      </c>
      <c r="I25" s="3">
        <f>IF(I9&lt;&gt;"",-Investment*UnosPodataka!$M$11,"")</f>
        <v>-13980</v>
      </c>
      <c r="J25" s="3">
        <f>IF(J9&lt;&gt;"",-Investment*UnosPodataka!$M$11,"")</f>
        <v>-13980</v>
      </c>
      <c r="K25" s="3">
        <f>IF(K9&lt;&gt;"",-Investment*UnosPodataka!$M$11,"")</f>
        <v>-13980</v>
      </c>
      <c r="L25" s="3">
        <f>IF(L9&lt;&gt;"",-Investment*UnosPodataka!$M$11,"")</f>
        <v>-13980</v>
      </c>
      <c r="M25" s="3">
        <f>IF(M9&lt;&gt;"",-Investment*UnosPodataka!$M$11,"")</f>
        <v>-13980</v>
      </c>
      <c r="N25" s="3">
        <f>IF(N9&lt;&gt;"",-Investment*UnosPodataka!$M$11,"")</f>
        <v>-13980</v>
      </c>
      <c r="O25" s="3">
        <f>IF(O9&lt;&gt;"",-Investment*UnosPodataka!$M$11,"")</f>
        <v>-13980</v>
      </c>
      <c r="P25" s="3">
        <f>IF(P9&lt;&gt;"",-Investment*UnosPodataka!$M$11,"")</f>
        <v>-13980</v>
      </c>
      <c r="Q25" s="3">
        <f>IF(Q9&lt;&gt;"",-Investment*UnosPodataka!$M$11,"")</f>
        <v>-13980</v>
      </c>
      <c r="R25" s="3">
        <f>IF(R9&lt;&gt;"",-Investment*UnosPodataka!$M$11,"")</f>
        <v>-13980</v>
      </c>
      <c r="S25" s="3">
        <f>IF(S9&lt;&gt;"",-Investment*UnosPodataka!$M$11,"")</f>
        <v>-13980</v>
      </c>
      <c r="T25" s="3">
        <f>IF(T9&lt;&gt;"",-Investment*UnosPodataka!$M$11,"")</f>
        <v>-13980</v>
      </c>
      <c r="U25" s="3">
        <f>IF(U9&lt;&gt;"",-Investment*UnosPodataka!$M$11,"")</f>
        <v>-13980</v>
      </c>
      <c r="V25" s="3">
        <f>IF(V9&lt;&gt;"",-Investment*UnosPodataka!$M$11,"")</f>
        <v>-13980</v>
      </c>
      <c r="W25" s="3">
        <f>IF(W9&lt;&gt;"",-Investment*UnosPodataka!$M$11,"")</f>
        <v>-13980</v>
      </c>
      <c r="X25" s="3">
        <f>IF(X9&lt;&gt;"",-Investment*UnosPodataka!$M$11,"")</f>
        <v>-13980</v>
      </c>
      <c r="Y25" s="3">
        <f>IF(Y9&lt;&gt;"",-Investment*UnosPodataka!$M$11,"")</f>
        <v>-13980</v>
      </c>
    </row>
    <row r="26" spans="1:25" x14ac:dyDescent="0.25">
      <c r="A26" s="68" t="s">
        <v>102</v>
      </c>
      <c r="B26" s="68"/>
      <c r="C26" s="68"/>
      <c r="D26" s="68"/>
      <c r="F26" s="3">
        <f t="shared" ref="F26:Y26" si="4">IF(F9&lt;&gt;"",-EPOW*WHOUR*EPrice/Kurs_EUR,"")</f>
        <v>-7402.9058039476031</v>
      </c>
      <c r="G26" s="3">
        <f t="shared" si="4"/>
        <v>-7402.9058039476031</v>
      </c>
      <c r="H26" s="3">
        <f t="shared" si="4"/>
        <v>-7402.9058039476031</v>
      </c>
      <c r="I26" s="3">
        <f t="shared" si="4"/>
        <v>-7402.9058039476031</v>
      </c>
      <c r="J26" s="3">
        <f t="shared" si="4"/>
        <v>-7402.9058039476031</v>
      </c>
      <c r="K26" s="3">
        <f t="shared" si="4"/>
        <v>-7402.9058039476031</v>
      </c>
      <c r="L26" s="3">
        <f t="shared" si="4"/>
        <v>-7402.9058039476031</v>
      </c>
      <c r="M26" s="3">
        <f t="shared" si="4"/>
        <v>-7402.9058039476031</v>
      </c>
      <c r="N26" s="3">
        <f t="shared" si="4"/>
        <v>-7402.9058039476031</v>
      </c>
      <c r="O26" s="3">
        <f t="shared" si="4"/>
        <v>-7402.9058039476031</v>
      </c>
      <c r="P26" s="3">
        <f t="shared" si="4"/>
        <v>-7402.9058039476031</v>
      </c>
      <c r="Q26" s="3">
        <f t="shared" si="4"/>
        <v>-7402.9058039476031</v>
      </c>
      <c r="R26" s="3">
        <f t="shared" si="4"/>
        <v>-7402.9058039476031</v>
      </c>
      <c r="S26" s="3">
        <f t="shared" si="4"/>
        <v>-7402.9058039476031</v>
      </c>
      <c r="T26" s="3">
        <f t="shared" si="4"/>
        <v>-7402.9058039476031</v>
      </c>
      <c r="U26" s="3">
        <f t="shared" si="4"/>
        <v>-7402.9058039476031</v>
      </c>
      <c r="V26" s="3">
        <f t="shared" si="4"/>
        <v>-7402.9058039476031</v>
      </c>
      <c r="W26" s="3">
        <f t="shared" si="4"/>
        <v>-7402.9058039476031</v>
      </c>
      <c r="X26" s="3">
        <f t="shared" si="4"/>
        <v>-7402.9058039476031</v>
      </c>
      <c r="Y26" s="3">
        <f t="shared" si="4"/>
        <v>-7402.9058039476031</v>
      </c>
    </row>
    <row r="27" spans="1:25" x14ac:dyDescent="0.25">
      <c r="A27" s="68" t="s">
        <v>167</v>
      </c>
      <c r="B27" s="68"/>
      <c r="C27" s="68"/>
      <c r="D27" s="68"/>
      <c r="F27" s="3">
        <f>IF(F9&lt;&gt;"",-Investment*UnosPodataka!$M$12,"")</f>
        <v>-46600</v>
      </c>
      <c r="G27" s="3">
        <f>IF(G9&lt;&gt;"",-Investment*UnosPodataka!$M$12,"")</f>
        <v>-46600</v>
      </c>
      <c r="H27" s="3">
        <f>IF(H9&lt;&gt;"",-Investment*UnosPodataka!$M$12,"")</f>
        <v>-46600</v>
      </c>
      <c r="I27" s="3">
        <f>IF(I9&lt;&gt;"",-Investment*UnosPodataka!$M$12,"")</f>
        <v>-46600</v>
      </c>
      <c r="J27" s="3">
        <f>IF(J9&lt;&gt;"",-Investment*UnosPodataka!$M$12,"")</f>
        <v>-46600</v>
      </c>
      <c r="K27" s="3">
        <f>IF(K9&lt;&gt;"",-Investment*UnosPodataka!$M$12,"")</f>
        <v>-46600</v>
      </c>
      <c r="L27" s="3">
        <f>IF(L9&lt;&gt;"",-Investment*UnosPodataka!$M$12,"")</f>
        <v>-46600</v>
      </c>
      <c r="M27" s="3">
        <f>IF(M9&lt;&gt;"",-Investment*UnosPodataka!$M$12,"")</f>
        <v>-46600</v>
      </c>
      <c r="N27" s="3">
        <f>IF(N9&lt;&gt;"",-Investment*UnosPodataka!$M$12,"")</f>
        <v>-46600</v>
      </c>
      <c r="O27" s="3">
        <f>IF(O9&lt;&gt;"",-Investment*UnosPodataka!$M$12,"")</f>
        <v>-46600</v>
      </c>
      <c r="P27" s="3">
        <f>IF(P9&lt;&gt;"",-Investment*UnosPodataka!$M$12,"")</f>
        <v>-46600</v>
      </c>
      <c r="Q27" s="3">
        <f>IF(Q9&lt;&gt;"",-Investment*UnosPodataka!$M$12,"")</f>
        <v>-46600</v>
      </c>
      <c r="R27" s="3">
        <f>IF(R9&lt;&gt;"",-Investment*UnosPodataka!$M$12,"")</f>
        <v>-46600</v>
      </c>
      <c r="S27" s="3">
        <f>IF(S9&lt;&gt;"",-Investment*UnosPodataka!$M$12,"")</f>
        <v>-46600</v>
      </c>
      <c r="T27" s="3">
        <f>IF(T9&lt;&gt;"",-Investment*UnosPodataka!$M$12,"")</f>
        <v>-46600</v>
      </c>
      <c r="U27" s="3">
        <f>IF(U9&lt;&gt;"",-Investment*UnosPodataka!$M$12,"")</f>
        <v>-46600</v>
      </c>
      <c r="V27" s="3">
        <f>IF(V9&lt;&gt;"",-Investment*UnosPodataka!$M$12,"")</f>
        <v>-46600</v>
      </c>
      <c r="W27" s="3">
        <f>IF(W9&lt;&gt;"",-Investment*UnosPodataka!$M$12,"")</f>
        <v>-46600</v>
      </c>
      <c r="X27" s="3">
        <f>IF(X9&lt;&gt;"",-Investment*UnosPodataka!$M$12,"")</f>
        <v>-46600</v>
      </c>
      <c r="Y27" s="3">
        <f>IF(Y9&lt;&gt;"",-Investment*UnosPodataka!$M$12,"")</f>
        <v>-46600</v>
      </c>
    </row>
    <row r="28" spans="1:25" x14ac:dyDescent="0.25">
      <c r="A28" s="68" t="s">
        <v>103</v>
      </c>
      <c r="B28" s="68"/>
      <c r="C28" s="68"/>
      <c r="D28" s="68"/>
      <c r="F28" s="3">
        <f>IF(F9&lt;&gt;"",-(1-UnosPodataka!$M$10)*FinaIndicators!F18,"")</f>
        <v>0</v>
      </c>
      <c r="G28" s="3">
        <f>IF(G9&lt;&gt;"",-(1-UnosPodataka!$M$10)*FinaIndicators!G18,"")</f>
        <v>0</v>
      </c>
      <c r="H28" s="3">
        <f>IF(H9&lt;&gt;"",-(1-UnosPodataka!$M$10)*FinaIndicators!H18,"")</f>
        <v>0</v>
      </c>
      <c r="I28" s="3">
        <f>IF(I9&lt;&gt;"",-(1-UnosPodataka!$M$10)*FinaIndicators!I18,"")</f>
        <v>0</v>
      </c>
      <c r="J28" s="3">
        <f>IF(J9&lt;&gt;"",-(1-UnosPodataka!$M$10)*FinaIndicators!J18,"")</f>
        <v>0</v>
      </c>
      <c r="K28" s="3">
        <f>IF(K9&lt;&gt;"",-(1-UnosPodataka!$M$10)*FinaIndicators!K18,"")</f>
        <v>0</v>
      </c>
      <c r="L28" s="3">
        <f>IF(L9&lt;&gt;"",-(1-UnosPodataka!$M$10)*FinaIndicators!L18,"")</f>
        <v>0</v>
      </c>
      <c r="M28" s="3">
        <f>IF(M9&lt;&gt;"",-(1-UnosPodataka!$M$10)*FinaIndicators!M18,"")</f>
        <v>0</v>
      </c>
      <c r="N28" s="3">
        <f>IF(N9&lt;&gt;"",-(1-UnosPodataka!$M$10)*FinaIndicators!N18,"")</f>
        <v>0</v>
      </c>
      <c r="O28" s="3">
        <f>IF(O9&lt;&gt;"",-(1-UnosPodataka!$M$10)*FinaIndicators!O18,"")</f>
        <v>0</v>
      </c>
      <c r="P28" s="3">
        <f>IF(P9&lt;&gt;"",-(1-UnosPodataka!$M$10)*FinaIndicators!P18,"")</f>
        <v>0</v>
      </c>
      <c r="Q28" s="3">
        <f>IF(Q9&lt;&gt;"",-(1-UnosPodataka!$M$10)*FinaIndicators!Q18,"")</f>
        <v>0</v>
      </c>
      <c r="R28" s="3">
        <f>IF(R9&lt;&gt;"",-(1-UnosPodataka!$M$10)*FinaIndicators!R18,"")</f>
        <v>0</v>
      </c>
      <c r="S28" s="3">
        <f>IF(S9&lt;&gt;"",-(1-UnosPodataka!$M$10)*FinaIndicators!S18,"")</f>
        <v>0</v>
      </c>
      <c r="T28" s="3">
        <f>IF(T9&lt;&gt;"",-(1-UnosPodataka!$M$10)*FinaIndicators!T18,"")</f>
        <v>0</v>
      </c>
      <c r="U28" s="3">
        <f>IF(U9&lt;&gt;"",-(1-UnosPodataka!$M$10)*FinaIndicators!U18,"")</f>
        <v>0</v>
      </c>
      <c r="V28" s="3">
        <f>IF(V9&lt;&gt;"",-(1-UnosPodataka!$M$10)*FinaIndicators!V18,"")</f>
        <v>0</v>
      </c>
      <c r="W28" s="3">
        <f>IF(W9&lt;&gt;"",-(1-UnosPodataka!$M$10)*FinaIndicators!W18,"")</f>
        <v>0</v>
      </c>
      <c r="X28" s="3">
        <f>IF(X9&lt;&gt;"",-(1-UnosPodataka!$M$10)*FinaIndicators!X18,"")</f>
        <v>0</v>
      </c>
      <c r="Y28" s="3">
        <f>IF(Y9&lt;&gt;"",-(1-UnosPodataka!$M$10)*FinaIndicators!Y18,"")</f>
        <v>0</v>
      </c>
    </row>
    <row r="29" spans="1:25" x14ac:dyDescent="0.25">
      <c r="A29" s="74" t="s">
        <v>104</v>
      </c>
      <c r="B29" s="74"/>
      <c r="C29" s="74"/>
      <c r="D29" s="74"/>
      <c r="E29" s="30">
        <f>-SUM(E11:E13)</f>
        <v>-466000</v>
      </c>
      <c r="F29" s="30">
        <f t="shared" ref="F29:Y29" si="5">IF(F9&lt;&gt;"",SUM(F22:F28),"")</f>
        <v>-83303.543921694189</v>
      </c>
      <c r="G29" s="30">
        <f t="shared" si="5"/>
        <v>-83303.543921694189</v>
      </c>
      <c r="H29" s="30">
        <f t="shared" si="5"/>
        <v>-83303.543921694189</v>
      </c>
      <c r="I29" s="30">
        <f t="shared" si="5"/>
        <v>-83303.543921694189</v>
      </c>
      <c r="J29" s="30">
        <f t="shared" si="5"/>
        <v>-83303.543921694189</v>
      </c>
      <c r="K29" s="30">
        <f t="shared" si="5"/>
        <v>-83303.543921694189</v>
      </c>
      <c r="L29" s="30">
        <f t="shared" si="5"/>
        <v>-83303.543921694189</v>
      </c>
      <c r="M29" s="30">
        <f t="shared" si="5"/>
        <v>-83303.543921694189</v>
      </c>
      <c r="N29" s="30">
        <f t="shared" si="5"/>
        <v>-83303.543921694189</v>
      </c>
      <c r="O29" s="30">
        <f t="shared" si="5"/>
        <v>-83303.543921694189</v>
      </c>
      <c r="P29" s="30">
        <f t="shared" si="5"/>
        <v>-68082.905803947608</v>
      </c>
      <c r="Q29" s="30">
        <f t="shared" si="5"/>
        <v>-68082.905803947608</v>
      </c>
      <c r="R29" s="30">
        <f t="shared" si="5"/>
        <v>-68082.905803947608</v>
      </c>
      <c r="S29" s="30">
        <f t="shared" si="5"/>
        <v>-68082.905803947608</v>
      </c>
      <c r="T29" s="30">
        <f t="shared" si="5"/>
        <v>-68082.905803947608</v>
      </c>
      <c r="U29" s="30">
        <f t="shared" si="5"/>
        <v>-68082.905803947608</v>
      </c>
      <c r="V29" s="30">
        <f t="shared" si="5"/>
        <v>-68082.905803947608</v>
      </c>
      <c r="W29" s="30">
        <f t="shared" si="5"/>
        <v>-68082.905803947608</v>
      </c>
      <c r="X29" s="30">
        <f t="shared" si="5"/>
        <v>-68082.905803947608</v>
      </c>
      <c r="Y29" s="30">
        <f t="shared" si="5"/>
        <v>-68082.905803947608</v>
      </c>
    </row>
    <row r="31" spans="1:25" x14ac:dyDescent="0.25">
      <c r="A31" t="s">
        <v>168</v>
      </c>
      <c r="E31" s="3">
        <f>+E29</f>
        <v>-466000</v>
      </c>
      <c r="F31" s="3">
        <f>+F29-F27-F34</f>
        <v>-36703.543921694189</v>
      </c>
      <c r="G31" s="3">
        <f t="shared" ref="G31:Y31" si="6">+G29-G27-G34</f>
        <v>-36703.543921694189</v>
      </c>
      <c r="H31" s="3">
        <f t="shared" si="6"/>
        <v>-36703.543921694189</v>
      </c>
      <c r="I31" s="3">
        <f t="shared" si="6"/>
        <v>-36703.543921694189</v>
      </c>
      <c r="J31" s="3">
        <f t="shared" si="6"/>
        <v>-36703.543921694189</v>
      </c>
      <c r="K31" s="3">
        <f t="shared" si="6"/>
        <v>-36703.543921694189</v>
      </c>
      <c r="L31" s="3">
        <f t="shared" si="6"/>
        <v>-36703.543921694189</v>
      </c>
      <c r="M31" s="3">
        <f t="shared" si="6"/>
        <v>-36703.543921694189</v>
      </c>
      <c r="N31" s="3">
        <f t="shared" si="6"/>
        <v>-36703.543921694189</v>
      </c>
      <c r="O31" s="3">
        <f t="shared" si="6"/>
        <v>-36703.543921694189</v>
      </c>
      <c r="P31" s="3">
        <f t="shared" si="6"/>
        <v>-21482.905803947608</v>
      </c>
      <c r="Q31" s="3">
        <f t="shared" si="6"/>
        <v>-21482.905803947608</v>
      </c>
      <c r="R31" s="3">
        <f t="shared" si="6"/>
        <v>-21482.905803947608</v>
      </c>
      <c r="S31" s="3">
        <f t="shared" si="6"/>
        <v>-21482.905803947608</v>
      </c>
      <c r="T31" s="3">
        <f t="shared" si="6"/>
        <v>-21482.905803947608</v>
      </c>
      <c r="U31" s="3">
        <f t="shared" si="6"/>
        <v>-21482.905803947608</v>
      </c>
      <c r="V31" s="3">
        <f t="shared" si="6"/>
        <v>-21482.905803947608</v>
      </c>
      <c r="W31" s="3">
        <f t="shared" si="6"/>
        <v>-21482.905803947608</v>
      </c>
      <c r="X31" s="3">
        <f t="shared" si="6"/>
        <v>-21482.905803947608</v>
      </c>
      <c r="Y31" s="3">
        <f t="shared" si="6"/>
        <v>-21482.905803947608</v>
      </c>
    </row>
    <row r="32" spans="1:25" x14ac:dyDescent="0.25">
      <c r="A32" s="61" t="s">
        <v>148</v>
      </c>
      <c r="B32" s="61"/>
      <c r="C32" s="61"/>
      <c r="D32" s="61"/>
      <c r="E32" s="3">
        <f t="shared" ref="E32:Y32" si="7">IF(E9&lt;&gt;"",E19+E29-E23,"")</f>
        <v>-466000</v>
      </c>
      <c r="F32" s="3">
        <f t="shared" si="7"/>
        <v>-31819.201797615093</v>
      </c>
      <c r="G32" s="3">
        <f t="shared" si="7"/>
        <v>-31231.125223485498</v>
      </c>
      <c r="H32" s="3">
        <f t="shared" si="7"/>
        <v>-30572.479460460359</v>
      </c>
      <c r="I32" s="3">
        <f t="shared" si="7"/>
        <v>-29834.796205872201</v>
      </c>
      <c r="J32" s="3">
        <f t="shared" si="7"/>
        <v>-29008.590960733462</v>
      </c>
      <c r="K32" s="3">
        <f t="shared" si="7"/>
        <v>-28083.241086178074</v>
      </c>
      <c r="L32" s="3">
        <f t="shared" si="7"/>
        <v>-27046.84922667604</v>
      </c>
      <c r="M32" s="3">
        <f t="shared" si="7"/>
        <v>-25886.090344033764</v>
      </c>
      <c r="N32" s="3">
        <f t="shared" si="7"/>
        <v>-24586.040395474411</v>
      </c>
      <c r="O32" s="3">
        <f t="shared" si="7"/>
        <v>-23129.984453087938</v>
      </c>
      <c r="P32" s="3">
        <f t="shared" si="7"/>
        <v>-21499.201797615104</v>
      </c>
      <c r="Q32" s="3">
        <f t="shared" si="7"/>
        <v>-21499.201797615104</v>
      </c>
      <c r="R32" s="3">
        <f t="shared" si="7"/>
        <v>-21499.201797615104</v>
      </c>
      <c r="S32" s="3">
        <f t="shared" si="7"/>
        <v>-21499.201797615104</v>
      </c>
      <c r="T32" s="3">
        <f t="shared" si="7"/>
        <v>-21499.201797615104</v>
      </c>
      <c r="U32" s="3">
        <f t="shared" si="7"/>
        <v>-21499.201797615104</v>
      </c>
      <c r="V32" s="3">
        <f t="shared" si="7"/>
        <v>-21499.201797615104</v>
      </c>
      <c r="W32" s="3">
        <f t="shared" si="7"/>
        <v>-21499.201797615104</v>
      </c>
      <c r="X32" s="3">
        <f t="shared" si="7"/>
        <v>-21499.201797615104</v>
      </c>
      <c r="Y32" s="3">
        <f t="shared" si="7"/>
        <v>-21499.201797615104</v>
      </c>
    </row>
    <row r="33" spans="1:25" x14ac:dyDescent="0.25">
      <c r="A33" s="69"/>
      <c r="B33" s="69"/>
      <c r="C33" s="69"/>
      <c r="D33" s="69"/>
    </row>
    <row r="34" spans="1:25" x14ac:dyDescent="0.25">
      <c r="A34" s="68" t="s">
        <v>94</v>
      </c>
      <c r="B34" s="68"/>
      <c r="C34" s="68"/>
      <c r="D34" s="68"/>
      <c r="F34" s="3">
        <f t="shared" ref="F34:Y34" si="8">IF(F9&lt;&gt;"",IF(F32&gt;0,F32*VAT,0),"")</f>
        <v>0</v>
      </c>
      <c r="G34" s="3">
        <f t="shared" si="8"/>
        <v>0</v>
      </c>
      <c r="H34" s="3">
        <f t="shared" si="8"/>
        <v>0</v>
      </c>
      <c r="I34" s="3">
        <f t="shared" si="8"/>
        <v>0</v>
      </c>
      <c r="J34" s="3">
        <f t="shared" si="8"/>
        <v>0</v>
      </c>
      <c r="K34" s="3">
        <f t="shared" si="8"/>
        <v>0</v>
      </c>
      <c r="L34" s="3">
        <f t="shared" si="8"/>
        <v>0</v>
      </c>
      <c r="M34" s="3">
        <f t="shared" si="8"/>
        <v>0</v>
      </c>
      <c r="N34" s="3">
        <f t="shared" si="8"/>
        <v>0</v>
      </c>
      <c r="O34" s="3">
        <f t="shared" si="8"/>
        <v>0</v>
      </c>
      <c r="P34" s="3">
        <f t="shared" si="8"/>
        <v>0</v>
      </c>
      <c r="Q34" s="3">
        <f t="shared" si="8"/>
        <v>0</v>
      </c>
      <c r="R34" s="3">
        <f t="shared" si="8"/>
        <v>0</v>
      </c>
      <c r="S34" s="3">
        <f t="shared" si="8"/>
        <v>0</v>
      </c>
      <c r="T34" s="3">
        <f t="shared" si="8"/>
        <v>0</v>
      </c>
      <c r="U34" s="3">
        <f t="shared" si="8"/>
        <v>0</v>
      </c>
      <c r="V34" s="3">
        <f t="shared" si="8"/>
        <v>0</v>
      </c>
      <c r="W34" s="3">
        <f t="shared" si="8"/>
        <v>0</v>
      </c>
      <c r="X34" s="3">
        <f t="shared" si="8"/>
        <v>0</v>
      </c>
      <c r="Y34" s="3">
        <f t="shared" si="8"/>
        <v>0</v>
      </c>
    </row>
    <row r="35" spans="1:25" x14ac:dyDescent="0.25">
      <c r="A35" s="61" t="s">
        <v>95</v>
      </c>
      <c r="B35" s="61"/>
      <c r="C35" s="61"/>
      <c r="D35" s="61"/>
      <c r="E35" s="3"/>
      <c r="F35" s="3">
        <f t="shared" ref="F35:Y35" si="9">IF(F9&lt;&gt;"",F32-F34,"")</f>
        <v>-31819.201797615093</v>
      </c>
      <c r="G35" s="3">
        <f t="shared" si="9"/>
        <v>-31231.125223485498</v>
      </c>
      <c r="H35" s="3">
        <f t="shared" si="9"/>
        <v>-30572.479460460359</v>
      </c>
      <c r="I35" s="3">
        <f t="shared" si="9"/>
        <v>-29834.796205872201</v>
      </c>
      <c r="J35" s="3">
        <f t="shared" si="9"/>
        <v>-29008.590960733462</v>
      </c>
      <c r="K35" s="3">
        <f t="shared" si="9"/>
        <v>-28083.241086178074</v>
      </c>
      <c r="L35" s="3">
        <f t="shared" si="9"/>
        <v>-27046.84922667604</v>
      </c>
      <c r="M35" s="3">
        <f t="shared" si="9"/>
        <v>-25886.090344033764</v>
      </c>
      <c r="N35" s="3">
        <f t="shared" si="9"/>
        <v>-24586.040395474411</v>
      </c>
      <c r="O35" s="3">
        <f t="shared" si="9"/>
        <v>-23129.984453087938</v>
      </c>
      <c r="P35" s="3">
        <f t="shared" si="9"/>
        <v>-21499.201797615104</v>
      </c>
      <c r="Q35" s="3">
        <f t="shared" si="9"/>
        <v>-21499.201797615104</v>
      </c>
      <c r="R35" s="3">
        <f t="shared" si="9"/>
        <v>-21499.201797615104</v>
      </c>
      <c r="S35" s="3">
        <f t="shared" si="9"/>
        <v>-21499.201797615104</v>
      </c>
      <c r="T35" s="3">
        <f t="shared" si="9"/>
        <v>-21499.201797615104</v>
      </c>
      <c r="U35" s="3">
        <f t="shared" si="9"/>
        <v>-21499.201797615104</v>
      </c>
      <c r="V35" s="3">
        <f t="shared" si="9"/>
        <v>-21499.201797615104</v>
      </c>
      <c r="W35" s="3">
        <f t="shared" si="9"/>
        <v>-21499.201797615104</v>
      </c>
      <c r="X35" s="3">
        <f t="shared" si="9"/>
        <v>-21499.201797615104</v>
      </c>
      <c r="Y35" s="3">
        <f t="shared" si="9"/>
        <v>-21499.201797615104</v>
      </c>
    </row>
    <row r="37" spans="1:25" x14ac:dyDescent="0.25">
      <c r="A37" s="31" t="s">
        <v>149</v>
      </c>
      <c r="B37" s="31"/>
      <c r="C37" s="31"/>
      <c r="D37" s="31"/>
      <c r="E37" s="3">
        <f>+E31</f>
        <v>-466000</v>
      </c>
      <c r="F37" s="3">
        <f>+F35-F27+F23</f>
        <v>9880.1600846383153</v>
      </c>
      <c r="G37" s="3">
        <f t="shared" ref="G37:Y37" si="10">+G35-G27+G23</f>
        <v>9880.1600846383171</v>
      </c>
      <c r="H37" s="3">
        <f t="shared" si="10"/>
        <v>9880.1600846383153</v>
      </c>
      <c r="I37" s="3">
        <f t="shared" si="10"/>
        <v>9880.1600846383153</v>
      </c>
      <c r="J37" s="3">
        <f t="shared" si="10"/>
        <v>9880.1600846383153</v>
      </c>
      <c r="K37" s="3">
        <f t="shared" si="10"/>
        <v>9880.1600846383153</v>
      </c>
      <c r="L37" s="3">
        <f t="shared" si="10"/>
        <v>9880.1600846383153</v>
      </c>
      <c r="M37" s="3">
        <f t="shared" si="10"/>
        <v>9880.1600846383135</v>
      </c>
      <c r="N37" s="3">
        <f t="shared" si="10"/>
        <v>9880.1600846383153</v>
      </c>
      <c r="O37" s="3">
        <f t="shared" si="10"/>
        <v>9880.1600846383153</v>
      </c>
      <c r="P37" s="3">
        <f t="shared" si="10"/>
        <v>25100.798202384896</v>
      </c>
      <c r="Q37" s="3">
        <f t="shared" si="10"/>
        <v>25100.798202384896</v>
      </c>
      <c r="R37" s="3">
        <f t="shared" si="10"/>
        <v>25100.798202384896</v>
      </c>
      <c r="S37" s="3">
        <f t="shared" si="10"/>
        <v>25100.798202384896</v>
      </c>
      <c r="T37" s="3">
        <f t="shared" si="10"/>
        <v>25100.798202384896</v>
      </c>
      <c r="U37" s="3">
        <f t="shared" si="10"/>
        <v>25100.798202384896</v>
      </c>
      <c r="V37" s="3">
        <f t="shared" si="10"/>
        <v>25100.798202384896</v>
      </c>
      <c r="W37" s="3">
        <f t="shared" si="10"/>
        <v>25100.798202384896</v>
      </c>
      <c r="X37" s="3">
        <f t="shared" si="10"/>
        <v>25100.798202384896</v>
      </c>
      <c r="Y37" s="3">
        <f t="shared" si="10"/>
        <v>25100.798202384896</v>
      </c>
    </row>
    <row r="38" spans="1:25" x14ac:dyDescent="0.25">
      <c r="A38" s="31" t="s">
        <v>150</v>
      </c>
      <c r="B38" s="31"/>
      <c r="C38" s="31"/>
      <c r="D38" s="31"/>
      <c r="E38" s="3">
        <f>+E37</f>
        <v>-466000</v>
      </c>
      <c r="F38" s="3">
        <f>+E38+F37</f>
        <v>-456119.83991536166</v>
      </c>
      <c r="G38" s="3">
        <f t="shared" ref="G38:Y38" si="11">+F38+G37</f>
        <v>-446239.67983072333</v>
      </c>
      <c r="H38" s="3">
        <f t="shared" si="11"/>
        <v>-436359.51974608499</v>
      </c>
      <c r="I38" s="3">
        <f t="shared" si="11"/>
        <v>-426479.35966144665</v>
      </c>
      <c r="J38" s="3">
        <f t="shared" si="11"/>
        <v>-416599.19957680831</v>
      </c>
      <c r="K38" s="3">
        <f t="shared" si="11"/>
        <v>-406719.03949216998</v>
      </c>
      <c r="L38" s="3">
        <f t="shared" si="11"/>
        <v>-396838.87940753164</v>
      </c>
      <c r="M38" s="3">
        <f t="shared" si="11"/>
        <v>-386958.7193228933</v>
      </c>
      <c r="N38" s="3">
        <f t="shared" si="11"/>
        <v>-377078.55923825497</v>
      </c>
      <c r="O38" s="3">
        <f t="shared" si="11"/>
        <v>-367198.39915361663</v>
      </c>
      <c r="P38" s="3">
        <f t="shared" si="11"/>
        <v>-342097.60095123173</v>
      </c>
      <c r="Q38" s="3">
        <f t="shared" si="11"/>
        <v>-316996.80274884682</v>
      </c>
      <c r="R38" s="3">
        <f t="shared" si="11"/>
        <v>-291896.00454646192</v>
      </c>
      <c r="S38" s="3">
        <f t="shared" si="11"/>
        <v>-266795.20634407701</v>
      </c>
      <c r="T38" s="3">
        <f t="shared" si="11"/>
        <v>-241694.40814169211</v>
      </c>
      <c r="U38" s="3">
        <f t="shared" si="11"/>
        <v>-216593.60993930721</v>
      </c>
      <c r="V38" s="3">
        <f t="shared" si="11"/>
        <v>-191492.8117369223</v>
      </c>
      <c r="W38" s="3">
        <f t="shared" si="11"/>
        <v>-166392.0135345374</v>
      </c>
      <c r="X38" s="3">
        <f t="shared" si="11"/>
        <v>-141291.2153321525</v>
      </c>
      <c r="Y38" s="3">
        <f t="shared" si="11"/>
        <v>-116190.41712976759</v>
      </c>
    </row>
    <row r="39" spans="1:25" x14ac:dyDescent="0.25">
      <c r="A39" s="18"/>
      <c r="B39" s="18"/>
      <c r="C39" s="18"/>
      <c r="D39" s="18"/>
    </row>
    <row r="40" spans="1:25" x14ac:dyDescent="0.25">
      <c r="A40" s="31" t="s">
        <v>63</v>
      </c>
      <c r="B40" s="31"/>
      <c r="C40" s="31"/>
      <c r="D40" s="31"/>
      <c r="E40" s="32">
        <f>+KamSptv</f>
        <v>2.715021459227468E-2</v>
      </c>
    </row>
    <row r="41" spans="1:25" x14ac:dyDescent="0.25">
      <c r="A41" s="31" t="s">
        <v>151</v>
      </c>
      <c r="B41" s="31"/>
      <c r="C41" s="31"/>
      <c r="D41" s="31"/>
      <c r="E41" s="3">
        <f t="shared" ref="E41:Y41" si="12">IF(E9&lt;&gt;"",E37*(1+$E$40)^-E9,"")</f>
        <v>-466000</v>
      </c>
      <c r="F41" s="3">
        <f t="shared" si="12"/>
        <v>9619.0021131039994</v>
      </c>
      <c r="G41" s="3">
        <f t="shared" si="12"/>
        <v>9364.7472165716736</v>
      </c>
      <c r="H41" s="3">
        <f t="shared" si="12"/>
        <v>9117.2129290641187</v>
      </c>
      <c r="I41" s="3">
        <f t="shared" si="12"/>
        <v>8876.2216076478962</v>
      </c>
      <c r="J41" s="3">
        <f t="shared" si="12"/>
        <v>8641.600304947895</v>
      </c>
      <c r="K41" s="3">
        <f t="shared" si="12"/>
        <v>8413.1806450317126</v>
      </c>
      <c r="L41" s="3">
        <f t="shared" si="12"/>
        <v>8190.7987025746843</v>
      </c>
      <c r="M41" s="3">
        <f t="shared" si="12"/>
        <v>7974.2948852189129</v>
      </c>
      <c r="N41" s="3">
        <f t="shared" si="12"/>
        <v>7763.5138190418375</v>
      </c>
      <c r="O41" s="3">
        <f t="shared" si="12"/>
        <v>7558.3042370521744</v>
      </c>
      <c r="P41" s="3">
        <f t="shared" si="12"/>
        <v>18694.504507814985</v>
      </c>
      <c r="Q41" s="3">
        <f t="shared" si="12"/>
        <v>18200.360806267989</v>
      </c>
      <c r="R41" s="3">
        <f t="shared" si="12"/>
        <v>17719.278590125774</v>
      </c>
      <c r="S41" s="3">
        <f t="shared" si="12"/>
        <v>17250.912610829186</v>
      </c>
      <c r="T41" s="3">
        <f t="shared" si="12"/>
        <v>16794.926745623965</v>
      </c>
      <c r="U41" s="3">
        <f t="shared" si="12"/>
        <v>16350.993756342328</v>
      </c>
      <c r="V41" s="3">
        <f t="shared" si="12"/>
        <v>15918.795054560569</v>
      </c>
      <c r="W41" s="3">
        <f t="shared" si="12"/>
        <v>15498.020472964126</v>
      </c>
      <c r="X41" s="3">
        <f t="shared" si="12"/>
        <v>15088.368042756081</v>
      </c>
      <c r="Y41" s="3">
        <f t="shared" si="12"/>
        <v>14689.543776949295</v>
      </c>
    </row>
    <row r="42" spans="1:25" x14ac:dyDescent="0.25">
      <c r="A42" s="31" t="s">
        <v>152</v>
      </c>
      <c r="B42" s="31"/>
      <c r="C42" s="31"/>
      <c r="D42" s="31"/>
      <c r="E42" s="3">
        <f>+E41</f>
        <v>-466000</v>
      </c>
      <c r="F42" s="3">
        <f>+E42+F41</f>
        <v>-456380.99788689602</v>
      </c>
      <c r="G42" s="3">
        <f t="shared" ref="G42:X42" si="13">+F42+G41</f>
        <v>-447016.25067032437</v>
      </c>
      <c r="H42" s="3">
        <f t="shared" si="13"/>
        <v>-437899.03774126025</v>
      </c>
      <c r="I42" s="3">
        <f t="shared" si="13"/>
        <v>-429022.81613361236</v>
      </c>
      <c r="J42" s="3">
        <f t="shared" si="13"/>
        <v>-420381.21582866448</v>
      </c>
      <c r="K42" s="3">
        <f t="shared" si="13"/>
        <v>-411968.03518363275</v>
      </c>
      <c r="L42" s="3">
        <f t="shared" si="13"/>
        <v>-403777.23648105806</v>
      </c>
      <c r="M42" s="3">
        <f t="shared" si="13"/>
        <v>-395802.94159583916</v>
      </c>
      <c r="N42" s="3">
        <f t="shared" si="13"/>
        <v>-388039.42777679733</v>
      </c>
      <c r="O42" s="3">
        <f t="shared" si="13"/>
        <v>-380481.12353974517</v>
      </c>
      <c r="P42" s="3">
        <f t="shared" si="13"/>
        <v>-361786.61903193017</v>
      </c>
      <c r="Q42" s="3">
        <f t="shared" si="13"/>
        <v>-343586.25822566217</v>
      </c>
      <c r="R42" s="3">
        <f t="shared" si="13"/>
        <v>-325866.97963553638</v>
      </c>
      <c r="S42" s="3">
        <f t="shared" si="13"/>
        <v>-308616.06702470721</v>
      </c>
      <c r="T42" s="3">
        <f t="shared" si="13"/>
        <v>-291821.14027908322</v>
      </c>
      <c r="U42" s="3">
        <f t="shared" si="13"/>
        <v>-275470.14652274089</v>
      </c>
      <c r="V42" s="3">
        <f t="shared" si="13"/>
        <v>-259551.35146818034</v>
      </c>
      <c r="W42" s="3">
        <f t="shared" si="13"/>
        <v>-244053.33099521621</v>
      </c>
      <c r="X42" s="3">
        <f t="shared" si="13"/>
        <v>-228964.96295246013</v>
      </c>
      <c r="Y42" s="3">
        <f>+X42+Y41</f>
        <v>-214275.41917551085</v>
      </c>
    </row>
    <row r="43" spans="1:25" x14ac:dyDescent="0.25">
      <c r="A43" s="31"/>
      <c r="B43" s="31"/>
      <c r="C43" s="31"/>
      <c r="D43" s="31"/>
    </row>
    <row r="44" spans="1:25" x14ac:dyDescent="0.25">
      <c r="A44" s="33" t="s">
        <v>153</v>
      </c>
      <c r="B44" s="33"/>
      <c r="C44" s="33"/>
      <c r="D44" s="33"/>
      <c r="E44" s="34">
        <f>+NPV(E40,E37:Y37)</f>
        <v>-208611.57027608386</v>
      </c>
      <c r="F44" s="35"/>
      <c r="H44" s="3"/>
    </row>
    <row r="45" spans="1:25" x14ac:dyDescent="0.25">
      <c r="A45" s="33" t="s">
        <v>154</v>
      </c>
      <c r="B45" s="33"/>
      <c r="C45" s="33"/>
      <c r="D45" s="33"/>
      <c r="E45" s="48">
        <f>+IRR(E37:Y37,10)</f>
        <v>-2.1847722780347967E-2</v>
      </c>
      <c r="F45" s="35"/>
    </row>
    <row r="46" spans="1:25" x14ac:dyDescent="0.25">
      <c r="A46" s="33" t="s">
        <v>155</v>
      </c>
      <c r="B46" s="33"/>
      <c r="C46" s="33"/>
      <c r="D46" s="33"/>
      <c r="E46" s="46">
        <f>+NPV(KamSptv,F19:Y19)/-NPV(KamSptv,E31:Y31)</f>
        <v>0.78945373122801588</v>
      </c>
      <c r="F46" s="35"/>
    </row>
    <row r="47" spans="1:25" x14ac:dyDescent="0.25">
      <c r="A47" s="33" t="s">
        <v>156</v>
      </c>
      <c r="B47" s="33"/>
      <c r="C47" s="33"/>
      <c r="D47" s="33"/>
      <c r="E47" s="36" t="e" cm="1">
        <f t="array" ref="E47">+LOOKUP(INDEX(E38:Y38,MATCH(TRUE,E38:Y38&gt;0,0)),E38:Y38,E9:Y9)</f>
        <v>#N/A</v>
      </c>
      <c r="F47" s="35" t="s">
        <v>160</v>
      </c>
    </row>
    <row r="48" spans="1:25" x14ac:dyDescent="0.25">
      <c r="A48" s="33" t="s">
        <v>157</v>
      </c>
      <c r="B48" s="33"/>
      <c r="C48" s="33"/>
      <c r="D48" s="33"/>
      <c r="E48" s="36" t="e" cm="1">
        <f t="array" ref="E48">+LOOKUP(INDEX(E42:Y42,MATCH(TRUE,E42:Y42&gt;0,0)),E42:Y42,E9:Y9)</f>
        <v>#N/A</v>
      </c>
      <c r="F48" s="35" t="s">
        <v>160</v>
      </c>
    </row>
    <row r="49" spans="1:26" x14ac:dyDescent="0.25">
      <c r="A49" s="31"/>
      <c r="B49" s="31"/>
      <c r="C49" s="31"/>
      <c r="D49" s="31"/>
    </row>
    <row r="50" spans="1:26" x14ac:dyDescent="0.25">
      <c r="A50" s="68" t="s">
        <v>163</v>
      </c>
      <c r="B50" s="68"/>
      <c r="C50" s="68"/>
      <c r="D50" s="68"/>
      <c r="E50" s="3">
        <f>+E42</f>
        <v>-466000</v>
      </c>
      <c r="F50" s="3">
        <f t="shared" ref="F50:Y50" si="14">IF(F9&lt;&gt;"",F31,"")</f>
        <v>-36703.543921694189</v>
      </c>
      <c r="G50" s="3">
        <f t="shared" si="14"/>
        <v>-36703.543921694189</v>
      </c>
      <c r="H50" s="3">
        <f t="shared" si="14"/>
        <v>-36703.543921694189</v>
      </c>
      <c r="I50" s="3">
        <f t="shared" si="14"/>
        <v>-36703.543921694189</v>
      </c>
      <c r="J50" s="3">
        <f t="shared" si="14"/>
        <v>-36703.543921694189</v>
      </c>
      <c r="K50" s="3">
        <f t="shared" si="14"/>
        <v>-36703.543921694189</v>
      </c>
      <c r="L50" s="3">
        <f t="shared" si="14"/>
        <v>-36703.543921694189</v>
      </c>
      <c r="M50" s="3">
        <f t="shared" si="14"/>
        <v>-36703.543921694189</v>
      </c>
      <c r="N50" s="3">
        <f t="shared" si="14"/>
        <v>-36703.543921694189</v>
      </c>
      <c r="O50" s="3">
        <f t="shared" si="14"/>
        <v>-36703.543921694189</v>
      </c>
      <c r="P50" s="3">
        <f t="shared" si="14"/>
        <v>-21482.905803947608</v>
      </c>
      <c r="Q50" s="3">
        <f t="shared" si="14"/>
        <v>-21482.905803947608</v>
      </c>
      <c r="R50" s="3">
        <f t="shared" si="14"/>
        <v>-21482.905803947608</v>
      </c>
      <c r="S50" s="3">
        <f t="shared" si="14"/>
        <v>-21482.905803947608</v>
      </c>
      <c r="T50" s="3">
        <f t="shared" si="14"/>
        <v>-21482.905803947608</v>
      </c>
      <c r="U50" s="3">
        <f t="shared" si="14"/>
        <v>-21482.905803947608</v>
      </c>
      <c r="V50" s="3">
        <f t="shared" si="14"/>
        <v>-21482.905803947608</v>
      </c>
      <c r="W50" s="3">
        <f t="shared" si="14"/>
        <v>-21482.905803947608</v>
      </c>
      <c r="X50" s="3">
        <f t="shared" si="14"/>
        <v>-21482.905803947608</v>
      </c>
      <c r="Y50" s="3">
        <f t="shared" si="14"/>
        <v>-21482.905803947608</v>
      </c>
      <c r="Z50" s="3"/>
    </row>
    <row r="51" spans="1:26" x14ac:dyDescent="0.25">
      <c r="A51" s="68" t="s">
        <v>164</v>
      </c>
      <c r="B51" s="68"/>
      <c r="C51" s="68"/>
      <c r="D51" s="68"/>
      <c r="F51" s="3">
        <f t="shared" ref="F51:Y51" si="15">IF(F9&lt;&gt;"",F50*(1+KamSptv)^-F9,"")</f>
        <v>-35733.375119104261</v>
      </c>
      <c r="G51" s="3">
        <f t="shared" si="15"/>
        <v>-34788.850366242252</v>
      </c>
      <c r="H51" s="3">
        <f t="shared" si="15"/>
        <v>-33869.291825102351</v>
      </c>
      <c r="I51" s="3">
        <f t="shared" si="15"/>
        <v>-32974.039574675749</v>
      </c>
      <c r="J51" s="3">
        <f t="shared" si="15"/>
        <v>-32102.451137358461</v>
      </c>
      <c r="K51" s="3">
        <f t="shared" si="15"/>
        <v>-31253.901017877379</v>
      </c>
      <c r="L51" s="3">
        <f t="shared" si="15"/>
        <v>-30427.780254403737</v>
      </c>
      <c r="M51" s="3">
        <f t="shared" si="15"/>
        <v>-29623.495981531771</v>
      </c>
      <c r="N51" s="3">
        <f t="shared" si="15"/>
        <v>-28840.471004808929</v>
      </c>
      <c r="O51" s="3">
        <f t="shared" si="15"/>
        <v>-28078.143386512467</v>
      </c>
      <c r="P51" s="3">
        <f t="shared" si="15"/>
        <v>-15999.98040519305</v>
      </c>
      <c r="Q51" s="3">
        <f t="shared" si="15"/>
        <v>-15577.059886556335</v>
      </c>
      <c r="R51" s="3">
        <f t="shared" si="15"/>
        <v>-15165.318241927855</v>
      </c>
      <c r="S51" s="3">
        <f t="shared" si="15"/>
        <v>-14764.459984996158</v>
      </c>
      <c r="T51" s="3">
        <f t="shared" si="15"/>
        <v>-14374.197439910855</v>
      </c>
      <c r="U51" s="3">
        <f t="shared" si="15"/>
        <v>-13994.25053483211</v>
      </c>
      <c r="V51" s="3">
        <f t="shared" si="15"/>
        <v>-13624.346600937139</v>
      </c>
      <c r="W51" s="3">
        <f t="shared" si="15"/>
        <v>-13264.220176739484</v>
      </c>
      <c r="X51" s="3">
        <f t="shared" si="15"/>
        <v>-12913.612817580623</v>
      </c>
      <c r="Y51" s="3">
        <f t="shared" si="15"/>
        <v>-12572.272910157211</v>
      </c>
      <c r="Z51" s="3"/>
    </row>
    <row r="52" spans="1:26" x14ac:dyDescent="0.25">
      <c r="A52" s="68" t="s">
        <v>165</v>
      </c>
      <c r="B52" s="68"/>
      <c r="C52" s="68"/>
      <c r="D52" s="68"/>
      <c r="E52" s="3">
        <f>+E42</f>
        <v>-466000</v>
      </c>
      <c r="F52" s="13">
        <f t="shared" ref="F52:Y52" si="16">IF(F9&lt;&gt;"",E52+F51,"")</f>
        <v>-501733.37511910428</v>
      </c>
      <c r="G52" s="13">
        <f t="shared" si="16"/>
        <v>-536522.22548534651</v>
      </c>
      <c r="H52" s="13">
        <f t="shared" si="16"/>
        <v>-570391.51731044892</v>
      </c>
      <c r="I52" s="13">
        <f t="shared" si="16"/>
        <v>-603365.55688512465</v>
      </c>
      <c r="J52" s="13">
        <f t="shared" si="16"/>
        <v>-635468.00802248309</v>
      </c>
      <c r="K52" s="13">
        <f t="shared" si="16"/>
        <v>-666721.90904036048</v>
      </c>
      <c r="L52" s="13">
        <f t="shared" si="16"/>
        <v>-697149.68929476419</v>
      </c>
      <c r="M52" s="13">
        <f t="shared" si="16"/>
        <v>-726773.18527629599</v>
      </c>
      <c r="N52" s="13">
        <f t="shared" si="16"/>
        <v>-755613.65628110489</v>
      </c>
      <c r="O52" s="13">
        <f t="shared" si="16"/>
        <v>-783691.79966761731</v>
      </c>
      <c r="P52" s="13">
        <f t="shared" si="16"/>
        <v>-799691.78007281036</v>
      </c>
      <c r="Q52" s="13">
        <f t="shared" si="16"/>
        <v>-815268.83995936671</v>
      </c>
      <c r="R52" s="13">
        <f t="shared" si="16"/>
        <v>-830434.1582012946</v>
      </c>
      <c r="S52" s="13">
        <f t="shared" si="16"/>
        <v>-845198.61818629073</v>
      </c>
      <c r="T52" s="13">
        <f t="shared" si="16"/>
        <v>-859572.81562620157</v>
      </c>
      <c r="U52" s="13">
        <f t="shared" si="16"/>
        <v>-873567.0661610337</v>
      </c>
      <c r="V52" s="13">
        <f t="shared" si="16"/>
        <v>-887191.41276197089</v>
      </c>
      <c r="W52" s="13">
        <f t="shared" si="16"/>
        <v>-900455.63293871039</v>
      </c>
      <c r="X52" s="13">
        <f t="shared" si="16"/>
        <v>-913369.24575629097</v>
      </c>
      <c r="Y52" s="13">
        <f t="shared" si="16"/>
        <v>-925941.51866644819</v>
      </c>
    </row>
    <row r="53" spans="1:26" x14ac:dyDescent="0.25">
      <c r="A53" s="68" t="s">
        <v>169</v>
      </c>
      <c r="B53" s="68"/>
      <c r="C53" s="68"/>
      <c r="D53" s="68"/>
      <c r="F53" s="3">
        <f t="shared" ref="F53:Y53" si="17">IF(F9&lt;&gt;"",F19,"")</f>
        <v>46583.704006332504</v>
      </c>
      <c r="G53" s="3">
        <f t="shared" si="17"/>
        <v>46583.704006332504</v>
      </c>
      <c r="H53" s="3">
        <f t="shared" si="17"/>
        <v>46583.704006332504</v>
      </c>
      <c r="I53" s="3">
        <f t="shared" si="17"/>
        <v>46583.704006332504</v>
      </c>
      <c r="J53" s="3">
        <f t="shared" si="17"/>
        <v>46583.704006332504</v>
      </c>
      <c r="K53" s="3">
        <f t="shared" si="17"/>
        <v>46583.704006332504</v>
      </c>
      <c r="L53" s="3">
        <f t="shared" si="17"/>
        <v>46583.704006332504</v>
      </c>
      <c r="M53" s="3">
        <f t="shared" si="17"/>
        <v>46583.704006332504</v>
      </c>
      <c r="N53" s="3">
        <f t="shared" si="17"/>
        <v>46583.704006332504</v>
      </c>
      <c r="O53" s="3">
        <f t="shared" si="17"/>
        <v>46583.704006332504</v>
      </c>
      <c r="P53" s="3">
        <f t="shared" si="17"/>
        <v>46583.704006332504</v>
      </c>
      <c r="Q53" s="3">
        <f t="shared" si="17"/>
        <v>46583.704006332504</v>
      </c>
      <c r="R53" s="3">
        <f t="shared" si="17"/>
        <v>46583.704006332504</v>
      </c>
      <c r="S53" s="3">
        <f t="shared" si="17"/>
        <v>46583.704006332504</v>
      </c>
      <c r="T53" s="3">
        <f t="shared" si="17"/>
        <v>46583.704006332504</v>
      </c>
      <c r="U53" s="3">
        <f t="shared" si="17"/>
        <v>46583.704006332504</v>
      </c>
      <c r="V53" s="3">
        <f t="shared" si="17"/>
        <v>46583.704006332504</v>
      </c>
      <c r="W53" s="3">
        <f t="shared" si="17"/>
        <v>46583.704006332504</v>
      </c>
      <c r="X53" s="3">
        <f t="shared" si="17"/>
        <v>46583.704006332504</v>
      </c>
      <c r="Y53" s="3">
        <f t="shared" si="17"/>
        <v>46583.704006332504</v>
      </c>
    </row>
    <row r="54" spans="1:26" x14ac:dyDescent="0.25">
      <c r="A54" s="68" t="s">
        <v>161</v>
      </c>
      <c r="B54" s="68"/>
      <c r="C54" s="68"/>
      <c r="D54" s="68"/>
      <c r="F54" s="3">
        <f t="shared" ref="F54:Y54" si="18">IF(F9&lt;&gt;"",F53*(1+KamSptv)^-F9,"")</f>
        <v>45352.377232208259</v>
      </c>
      <c r="G54" s="3">
        <f t="shared" si="18"/>
        <v>44153.597582813927</v>
      </c>
      <c r="H54" s="3">
        <f t="shared" si="18"/>
        <v>42986.504754166468</v>
      </c>
      <c r="I54" s="3">
        <f t="shared" si="18"/>
        <v>41850.261182323651</v>
      </c>
      <c r="J54" s="3">
        <f t="shared" si="18"/>
        <v>40744.051442306358</v>
      </c>
      <c r="K54" s="3">
        <f t="shared" si="18"/>
        <v>39667.081662909091</v>
      </c>
      <c r="L54" s="3">
        <f t="shared" si="18"/>
        <v>38618.578956978425</v>
      </c>
      <c r="M54" s="3">
        <f t="shared" si="18"/>
        <v>37597.790866750685</v>
      </c>
      <c r="N54" s="3">
        <f t="shared" si="18"/>
        <v>36603.984823850769</v>
      </c>
      <c r="O54" s="3">
        <f t="shared" si="18"/>
        <v>35636.447623564636</v>
      </c>
      <c r="P54" s="3">
        <f t="shared" si="18"/>
        <v>34694.484913008033</v>
      </c>
      <c r="Q54" s="3">
        <f t="shared" si="18"/>
        <v>33777.420692824322</v>
      </c>
      <c r="R54" s="3">
        <f t="shared" si="18"/>
        <v>32884.596832053627</v>
      </c>
      <c r="S54" s="3">
        <f t="shared" si="18"/>
        <v>32015.372595825342</v>
      </c>
      <c r="T54" s="3">
        <f t="shared" si="18"/>
        <v>31169.12418553482</v>
      </c>
      <c r="U54" s="3">
        <f t="shared" si="18"/>
        <v>30345.24429117444</v>
      </c>
      <c r="V54" s="3">
        <f t="shared" si="18"/>
        <v>29543.141655497708</v>
      </c>
      <c r="W54" s="3">
        <f t="shared" si="18"/>
        <v>28762.24064970361</v>
      </c>
      <c r="X54" s="3">
        <f t="shared" si="18"/>
        <v>28001.980860336706</v>
      </c>
      <c r="Y54" s="3">
        <f t="shared" si="18"/>
        <v>27261.816687106508</v>
      </c>
    </row>
    <row r="55" spans="1:26" x14ac:dyDescent="0.25">
      <c r="A55" s="68" t="s">
        <v>162</v>
      </c>
      <c r="B55" s="68"/>
      <c r="C55" s="68"/>
      <c r="D55" s="68"/>
      <c r="F55" s="3">
        <f>+F54</f>
        <v>45352.377232208259</v>
      </c>
      <c r="G55" s="3">
        <f t="shared" ref="G55:Y55" si="19">IF(G9&lt;&gt;"",F55+G54,"")</f>
        <v>89505.974815022186</v>
      </c>
      <c r="H55" s="3">
        <f t="shared" si="19"/>
        <v>132492.47956918867</v>
      </c>
      <c r="I55" s="3">
        <f t="shared" si="19"/>
        <v>174342.74075151232</v>
      </c>
      <c r="J55" s="3">
        <f t="shared" si="19"/>
        <v>215086.79219381866</v>
      </c>
      <c r="K55" s="3">
        <f t="shared" si="19"/>
        <v>254753.87385672776</v>
      </c>
      <c r="L55" s="3">
        <f t="shared" si="19"/>
        <v>293372.45281370619</v>
      </c>
      <c r="M55" s="3">
        <f t="shared" si="19"/>
        <v>330970.24368045689</v>
      </c>
      <c r="N55" s="3">
        <f t="shared" si="19"/>
        <v>367574.22850430768</v>
      </c>
      <c r="O55" s="3">
        <f t="shared" si="19"/>
        <v>403210.67612787231</v>
      </c>
      <c r="P55" s="3">
        <f t="shared" si="19"/>
        <v>437905.16104088037</v>
      </c>
      <c r="Q55" s="3">
        <f t="shared" si="19"/>
        <v>471682.58173370466</v>
      </c>
      <c r="R55" s="3">
        <f t="shared" si="19"/>
        <v>504567.17856575828</v>
      </c>
      <c r="S55" s="3">
        <f t="shared" si="19"/>
        <v>536582.55116158363</v>
      </c>
      <c r="T55" s="3">
        <f t="shared" si="19"/>
        <v>567751.67534711841</v>
      </c>
      <c r="U55" s="3">
        <f t="shared" si="19"/>
        <v>598096.91963829286</v>
      </c>
      <c r="V55" s="3">
        <f t="shared" si="19"/>
        <v>627640.06129379058</v>
      </c>
      <c r="W55" s="3">
        <f t="shared" si="19"/>
        <v>656402.30194349424</v>
      </c>
      <c r="X55" s="3">
        <f t="shared" si="19"/>
        <v>684404.28280383092</v>
      </c>
      <c r="Y55" s="3">
        <f t="shared" si="19"/>
        <v>711666.09949093743</v>
      </c>
    </row>
    <row r="56" spans="1:26" x14ac:dyDescent="0.25">
      <c r="A56" s="68" t="s">
        <v>158</v>
      </c>
      <c r="B56" s="68"/>
      <c r="C56" s="68"/>
      <c r="D56" s="68"/>
      <c r="E56" s="3">
        <f t="shared" ref="E56:Y56" si="20">IF(E9&lt;&gt;"",E55+E52,"")</f>
        <v>-466000</v>
      </c>
      <c r="F56" s="3">
        <f t="shared" si="20"/>
        <v>-456380.99788689602</v>
      </c>
      <c r="G56" s="3">
        <f t="shared" si="20"/>
        <v>-447016.25067032431</v>
      </c>
      <c r="H56" s="3">
        <f t="shared" si="20"/>
        <v>-437899.03774126025</v>
      </c>
      <c r="I56" s="3">
        <f t="shared" si="20"/>
        <v>-429022.8161336123</v>
      </c>
      <c r="J56" s="3">
        <f t="shared" si="20"/>
        <v>-420381.21582866443</v>
      </c>
      <c r="K56" s="3">
        <f t="shared" si="20"/>
        <v>-411968.03518363275</v>
      </c>
      <c r="L56" s="3">
        <f t="shared" si="20"/>
        <v>-403777.236481058</v>
      </c>
      <c r="M56" s="3">
        <f t="shared" si="20"/>
        <v>-395802.9415958391</v>
      </c>
      <c r="N56" s="3">
        <f t="shared" si="20"/>
        <v>-388039.42777679721</v>
      </c>
      <c r="O56" s="3">
        <f t="shared" si="20"/>
        <v>-380481.12353974499</v>
      </c>
      <c r="P56" s="3">
        <f t="shared" si="20"/>
        <v>-361786.61903192999</v>
      </c>
      <c r="Q56" s="3">
        <f t="shared" si="20"/>
        <v>-343586.25822566205</v>
      </c>
      <c r="R56" s="3">
        <f t="shared" si="20"/>
        <v>-325866.97963553632</v>
      </c>
      <c r="S56" s="3">
        <f t="shared" si="20"/>
        <v>-308616.0670247071</v>
      </c>
      <c r="T56" s="3">
        <f t="shared" si="20"/>
        <v>-291821.14027908316</v>
      </c>
      <c r="U56" s="3">
        <f t="shared" si="20"/>
        <v>-275470.14652274083</v>
      </c>
      <c r="V56" s="3">
        <f t="shared" si="20"/>
        <v>-259551.35146818031</v>
      </c>
      <c r="W56" s="3">
        <f t="shared" si="20"/>
        <v>-244053.33099521615</v>
      </c>
      <c r="X56" s="3">
        <f t="shared" si="20"/>
        <v>-228964.96295246005</v>
      </c>
      <c r="Y56" s="3">
        <f t="shared" si="20"/>
        <v>-214275.41917551076</v>
      </c>
    </row>
    <row r="57" spans="1:26" x14ac:dyDescent="0.25">
      <c r="A57" s="37" t="s">
        <v>159</v>
      </c>
      <c r="B57" s="37"/>
      <c r="C57" s="37"/>
      <c r="D57" s="37"/>
      <c r="E57" s="35"/>
      <c r="F57" s="46">
        <f>-F50/HEAT</f>
        <v>53.716695822641071</v>
      </c>
    </row>
    <row r="58" spans="1:26" x14ac:dyDescent="0.25">
      <c r="A58" s="22"/>
      <c r="B58" s="22"/>
      <c r="C58" s="22"/>
      <c r="D58" s="22"/>
    </row>
    <row r="59" spans="1:26" x14ac:dyDescent="0.25">
      <c r="A59" s="68" t="s">
        <v>96</v>
      </c>
      <c r="B59" s="68"/>
      <c r="C59" s="68"/>
      <c r="D59" s="68"/>
      <c r="E59" s="3">
        <f>-E50</f>
        <v>466000</v>
      </c>
      <c r="F59" s="3">
        <f t="shared" ref="F59:Y59" si="21">IF(F9="",E59,-F52)</f>
        <v>501733.37511910428</v>
      </c>
      <c r="G59" s="3">
        <f t="shared" si="21"/>
        <v>536522.22548534651</v>
      </c>
      <c r="H59" s="3">
        <f t="shared" si="21"/>
        <v>570391.51731044892</v>
      </c>
      <c r="I59" s="3">
        <f t="shared" si="21"/>
        <v>603365.55688512465</v>
      </c>
      <c r="J59" s="3">
        <f t="shared" si="21"/>
        <v>635468.00802248309</v>
      </c>
      <c r="K59" s="3">
        <f t="shared" si="21"/>
        <v>666721.90904036048</v>
      </c>
      <c r="L59" s="3">
        <f t="shared" si="21"/>
        <v>697149.68929476419</v>
      </c>
      <c r="M59" s="13">
        <f t="shared" si="21"/>
        <v>726773.18527629599</v>
      </c>
      <c r="N59" s="3">
        <f t="shared" si="21"/>
        <v>755613.65628110489</v>
      </c>
      <c r="O59" s="13">
        <f t="shared" si="21"/>
        <v>783691.79966761731</v>
      </c>
      <c r="P59" s="3">
        <f t="shared" si="21"/>
        <v>799691.78007281036</v>
      </c>
      <c r="Q59" s="13">
        <f t="shared" si="21"/>
        <v>815268.83995936671</v>
      </c>
      <c r="R59" s="3">
        <f t="shared" si="21"/>
        <v>830434.1582012946</v>
      </c>
      <c r="S59" s="3">
        <f t="shared" si="21"/>
        <v>845198.61818629073</v>
      </c>
      <c r="T59" s="3">
        <f t="shared" si="21"/>
        <v>859572.81562620157</v>
      </c>
      <c r="U59" s="3">
        <f t="shared" si="21"/>
        <v>873567.0661610337</v>
      </c>
      <c r="V59" s="3">
        <f t="shared" si="21"/>
        <v>887191.41276197089</v>
      </c>
      <c r="W59" s="3">
        <f t="shared" si="21"/>
        <v>900455.63293871039</v>
      </c>
      <c r="X59" s="3">
        <f t="shared" si="21"/>
        <v>913369.24575629097</v>
      </c>
      <c r="Y59" s="3">
        <f t="shared" si="21"/>
        <v>925941.51866644819</v>
      </c>
    </row>
    <row r="60" spans="1:26" x14ac:dyDescent="0.25">
      <c r="A60" s="68" t="s">
        <v>97</v>
      </c>
      <c r="B60" s="68"/>
      <c r="C60" s="68"/>
      <c r="D60" s="68"/>
      <c r="F60" s="3">
        <f t="shared" ref="F60:Y60" si="22">IF(F9="",E60,F55)</f>
        <v>45352.377232208259</v>
      </c>
      <c r="G60" s="3">
        <f t="shared" si="22"/>
        <v>89505.974815022186</v>
      </c>
      <c r="H60" s="3">
        <f t="shared" si="22"/>
        <v>132492.47956918867</v>
      </c>
      <c r="I60" s="3">
        <f t="shared" si="22"/>
        <v>174342.74075151232</v>
      </c>
      <c r="J60" s="3">
        <f t="shared" si="22"/>
        <v>215086.79219381866</v>
      </c>
      <c r="K60" s="3">
        <f t="shared" si="22"/>
        <v>254753.87385672776</v>
      </c>
      <c r="L60" s="3">
        <f t="shared" si="22"/>
        <v>293372.45281370619</v>
      </c>
      <c r="M60" s="3">
        <f t="shared" si="22"/>
        <v>330970.24368045689</v>
      </c>
      <c r="N60" s="3">
        <f t="shared" si="22"/>
        <v>367574.22850430768</v>
      </c>
      <c r="O60" s="3">
        <f t="shared" si="22"/>
        <v>403210.67612787231</v>
      </c>
      <c r="P60" s="3">
        <f t="shared" si="22"/>
        <v>437905.16104088037</v>
      </c>
      <c r="Q60" s="3">
        <f t="shared" si="22"/>
        <v>471682.58173370466</v>
      </c>
      <c r="R60" s="3">
        <f t="shared" si="22"/>
        <v>504567.17856575828</v>
      </c>
      <c r="S60" s="3">
        <f t="shared" si="22"/>
        <v>536582.55116158363</v>
      </c>
      <c r="T60" s="3">
        <f t="shared" si="22"/>
        <v>567751.67534711841</v>
      </c>
      <c r="U60" s="3">
        <f t="shared" si="22"/>
        <v>598096.91963829286</v>
      </c>
      <c r="V60" s="3">
        <f t="shared" si="22"/>
        <v>627640.06129379058</v>
      </c>
      <c r="W60" s="3">
        <f t="shared" si="22"/>
        <v>656402.30194349424</v>
      </c>
      <c r="X60" s="3">
        <f t="shared" si="22"/>
        <v>684404.28280383092</v>
      </c>
      <c r="Y60" s="3">
        <f t="shared" si="22"/>
        <v>711666.09949093743</v>
      </c>
    </row>
  </sheetData>
  <sheetProtection selectLockedCells="1"/>
  <mergeCells count="35">
    <mergeCell ref="A11:D11"/>
    <mergeCell ref="F3:I3"/>
    <mergeCell ref="A7:D7"/>
    <mergeCell ref="I7:J7"/>
    <mergeCell ref="N7:O7"/>
    <mergeCell ref="A9:D9"/>
    <mergeCell ref="A12:D12"/>
    <mergeCell ref="A13:D13"/>
    <mergeCell ref="A14:D14"/>
    <mergeCell ref="A15:D15"/>
    <mergeCell ref="A17:D17"/>
    <mergeCell ref="A18:D18"/>
    <mergeCell ref="A19:D19"/>
    <mergeCell ref="A20:D20"/>
    <mergeCell ref="A21:D21"/>
    <mergeCell ref="A22:D22"/>
    <mergeCell ref="A51:D51"/>
    <mergeCell ref="A24:D24"/>
    <mergeCell ref="A25:D25"/>
    <mergeCell ref="A26:D26"/>
    <mergeCell ref="A27:D27"/>
    <mergeCell ref="A28:D28"/>
    <mergeCell ref="A29:D29"/>
    <mergeCell ref="A32:D32"/>
    <mergeCell ref="A33:D33"/>
    <mergeCell ref="A34:D34"/>
    <mergeCell ref="A35:D35"/>
    <mergeCell ref="A50:D50"/>
    <mergeCell ref="A60:D60"/>
    <mergeCell ref="A52:D52"/>
    <mergeCell ref="A53:D53"/>
    <mergeCell ref="A54:D54"/>
    <mergeCell ref="A55:D55"/>
    <mergeCell ref="A56:D56"/>
    <mergeCell ref="A59:D59"/>
  </mergeCells>
  <dataValidations count="2">
    <dataValidation allowBlank="1" showInputMessage="1" showErrorMessage="1" promptTitle="CashFlow" prompt="Ne obuhvata amortizaciju, ali obuhvata otplatu glavnice." sqref="A37:D37"/>
    <dataValidation allowBlank="1" showInputMessage="1" showErrorMessage="1" promptTitle="BrutoDobit" prompt="Bruto dobit prema Bilansu uspeha, ne obuhvata otplatu glavice." sqref="A32:D32"/>
  </dataValidations>
  <hyperlinks>
    <hyperlink ref="I7:J7" location="FinaIndikatori!I1" display="NAZAD"/>
    <hyperlink ref="N7:O7" location="GrafFina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Z62"/>
  <sheetViews>
    <sheetView showZeros="0" zoomScale="80" zoomScaleNormal="80" workbookViewId="0">
      <selection activeCell="G20" sqref="G20:Y20"/>
    </sheetView>
  </sheetViews>
  <sheetFormatPr defaultRowHeight="15" x14ac:dyDescent="0.25"/>
  <cols>
    <col min="4" max="4" width="13" customWidth="1"/>
    <col min="5" max="5" width="12.140625" customWidth="1"/>
    <col min="6" max="6" width="11.42578125" customWidth="1"/>
    <col min="7" max="7" width="11.28515625" customWidth="1"/>
    <col min="8" max="8" width="12.425781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9" width="12.42578125" customWidth="1"/>
    <col min="20" max="20" width="13.140625" customWidth="1"/>
    <col min="21" max="21" width="12.85546875" customWidth="1"/>
    <col min="22" max="22" width="12.7109375" customWidth="1"/>
    <col min="23" max="23" width="12.42578125" customWidth="1"/>
    <col min="24" max="25" width="12.5703125" customWidth="1"/>
  </cols>
  <sheetData>
    <row r="3" spans="1:25" ht="16.5" x14ac:dyDescent="0.35">
      <c r="F3" s="58" t="s">
        <v>176</v>
      </c>
      <c r="G3" s="58"/>
      <c r="H3" s="58"/>
      <c r="I3" s="58"/>
    </row>
    <row r="7" spans="1:25" ht="21" x14ac:dyDescent="0.35">
      <c r="A7" s="75" t="s">
        <v>177</v>
      </c>
      <c r="B7" s="75"/>
      <c r="C7" s="75"/>
      <c r="D7" s="75"/>
      <c r="I7" s="76" t="s">
        <v>128</v>
      </c>
      <c r="J7" s="76"/>
      <c r="N7" s="77" t="s">
        <v>129</v>
      </c>
      <c r="O7" s="77"/>
    </row>
    <row r="9" spans="1:25" x14ac:dyDescent="0.25">
      <c r="A9" s="61" t="s">
        <v>98</v>
      </c>
      <c r="B9" s="61"/>
      <c r="C9" s="61"/>
      <c r="D9" s="61"/>
      <c r="E9" s="16">
        <v>0</v>
      </c>
      <c r="F9" s="16">
        <v>1</v>
      </c>
      <c r="G9" s="16">
        <f>IF(F9&lt;UnosPodataka!$M$25,'FinInd+CO2'!F9+1,"")</f>
        <v>2</v>
      </c>
      <c r="H9" s="16">
        <f>IF(G9&lt;UnosPodataka!$M$25,'FinInd+CO2'!G9+1,"")</f>
        <v>3</v>
      </c>
      <c r="I9" s="16">
        <f>IF(H9&lt;UnosPodataka!$M$25,'FinInd+CO2'!H9+1,"")</f>
        <v>4</v>
      </c>
      <c r="J9" s="16">
        <f>IF(I9&lt;UnosPodataka!$M$25,'FinInd+CO2'!I9+1,"")</f>
        <v>5</v>
      </c>
      <c r="K9" s="16">
        <f>IF(J9&lt;UnosPodataka!$M$25,'FinInd+CO2'!J9+1,"")</f>
        <v>6</v>
      </c>
      <c r="L9" s="16">
        <f>IF(K9&lt;UnosPodataka!$M$25,'FinInd+CO2'!K9+1,"")</f>
        <v>7</v>
      </c>
      <c r="M9" s="16">
        <f>IF(L9&lt;UnosPodataka!$M$25,'FinInd+CO2'!L9+1,"")</f>
        <v>8</v>
      </c>
      <c r="N9" s="16">
        <f>IF(M9&lt;UnosPodataka!$M$25,'FinInd+CO2'!M9+1,"")</f>
        <v>9</v>
      </c>
      <c r="O9" s="16">
        <f>IF(N9&lt;UnosPodataka!$M$25,'FinInd+CO2'!N9+1,"")</f>
        <v>10</v>
      </c>
      <c r="P9" s="16">
        <f>IF(O9&lt;UnosPodataka!$M$25,'FinInd+CO2'!O9+1,"")</f>
        <v>11</v>
      </c>
      <c r="Q9" s="16">
        <f>IF(P9&lt;UnosPodataka!$M$25,'FinInd+CO2'!P9+1,"")</f>
        <v>12</v>
      </c>
      <c r="R9" s="16">
        <f>IF(Q9&lt;UnosPodataka!$M$25,'FinInd+CO2'!Q9+1,"")</f>
        <v>13</v>
      </c>
      <c r="S9" s="16">
        <f>IF(R9&lt;UnosPodataka!$M$25,'FinInd+CO2'!R9+1,"")</f>
        <v>14</v>
      </c>
      <c r="T9" s="16">
        <f>IF(S9&lt;UnosPodataka!$M$25,'FinInd+CO2'!S9+1,"")</f>
        <v>15</v>
      </c>
      <c r="U9" s="16">
        <f>IF(T9&lt;UnosPodataka!$M$25,'FinInd+CO2'!T9+1,"")</f>
        <v>16</v>
      </c>
      <c r="V9" s="16">
        <f>IF(U9&lt;UnosPodataka!$M$25,'FinInd+CO2'!U9+1,"")</f>
        <v>17</v>
      </c>
      <c r="W9" s="16">
        <f>IF(V9&lt;UnosPodataka!$M$25,'FinInd+CO2'!V9+1,"")</f>
        <v>18</v>
      </c>
      <c r="X9" s="16">
        <f>IF(W9&lt;UnosPodataka!$M$25,'FinInd+CO2'!W9+1,"")</f>
        <v>19</v>
      </c>
      <c r="Y9" s="16">
        <f>IF(X9&lt;UnosPodataka!$M$25,'FinInd+CO2'!X9+1,"")</f>
        <v>20</v>
      </c>
    </row>
    <row r="11" spans="1:25" x14ac:dyDescent="0.25">
      <c r="A11" s="68" t="s">
        <v>87</v>
      </c>
      <c r="B11" s="68"/>
      <c r="C11" s="68"/>
      <c r="D11" s="68"/>
      <c r="E11" s="3">
        <f>Loan</f>
        <v>86000</v>
      </c>
      <c r="I11" s="47">
        <f>+CARBON</f>
        <v>0.19450000000000003</v>
      </c>
      <c r="J11">
        <f>+CO2Tax</f>
        <v>97.44</v>
      </c>
      <c r="K11">
        <f>+HPrice</f>
        <v>8900</v>
      </c>
    </row>
    <row r="12" spans="1:25" x14ac:dyDescent="0.25">
      <c r="A12" s="68" t="s">
        <v>88</v>
      </c>
      <c r="B12" s="68"/>
      <c r="C12" s="68"/>
      <c r="D12" s="68"/>
      <c r="E12" s="3">
        <f>IF(Equity=0,Loan,Equity)</f>
        <v>40000</v>
      </c>
      <c r="I12">
        <f>+HEAT</f>
        <v>683.28</v>
      </c>
    </row>
    <row r="13" spans="1:25" x14ac:dyDescent="0.25">
      <c r="A13" s="68" t="s">
        <v>144</v>
      </c>
      <c r="B13" s="68"/>
      <c r="C13" s="68"/>
      <c r="D13" s="68"/>
      <c r="E13" s="3">
        <f>+SUM(UnosPodataka!F22:F24)</f>
        <v>340000</v>
      </c>
    </row>
    <row r="14" spans="1:25" x14ac:dyDescent="0.25">
      <c r="A14" s="68" t="s">
        <v>89</v>
      </c>
      <c r="B14" s="68"/>
      <c r="C14" s="68"/>
      <c r="D14" s="68"/>
      <c r="F14">
        <f t="shared" ref="F14:Y14" si="0">IF(F9&lt;&gt;"",HEAT,"")</f>
        <v>683.28</v>
      </c>
      <c r="G14">
        <f t="shared" si="0"/>
        <v>683.28</v>
      </c>
      <c r="H14">
        <f t="shared" si="0"/>
        <v>683.28</v>
      </c>
      <c r="I14">
        <f t="shared" si="0"/>
        <v>683.28</v>
      </c>
      <c r="J14">
        <f t="shared" si="0"/>
        <v>683.28</v>
      </c>
      <c r="K14">
        <f t="shared" si="0"/>
        <v>683.28</v>
      </c>
      <c r="L14">
        <f t="shared" si="0"/>
        <v>683.28</v>
      </c>
      <c r="M14">
        <f t="shared" si="0"/>
        <v>683.28</v>
      </c>
      <c r="N14">
        <f t="shared" si="0"/>
        <v>683.28</v>
      </c>
      <c r="O14">
        <f t="shared" si="0"/>
        <v>683.28</v>
      </c>
      <c r="P14">
        <f t="shared" si="0"/>
        <v>683.28</v>
      </c>
      <c r="Q14">
        <f t="shared" si="0"/>
        <v>683.28</v>
      </c>
      <c r="R14">
        <f t="shared" si="0"/>
        <v>683.28</v>
      </c>
      <c r="S14">
        <f t="shared" si="0"/>
        <v>683.28</v>
      </c>
      <c r="T14">
        <f t="shared" si="0"/>
        <v>683.28</v>
      </c>
      <c r="U14">
        <f t="shared" si="0"/>
        <v>683.28</v>
      </c>
      <c r="V14">
        <f t="shared" si="0"/>
        <v>683.28</v>
      </c>
      <c r="W14">
        <f t="shared" si="0"/>
        <v>683.28</v>
      </c>
      <c r="X14">
        <f t="shared" si="0"/>
        <v>683.28</v>
      </c>
      <c r="Y14">
        <f t="shared" si="0"/>
        <v>683.28</v>
      </c>
    </row>
    <row r="15" spans="1:25" x14ac:dyDescent="0.25">
      <c r="A15" s="68" t="s">
        <v>90</v>
      </c>
      <c r="B15" s="68"/>
      <c r="C15" s="68"/>
      <c r="D15" s="68"/>
      <c r="F15" s="3">
        <f t="shared" ref="F15:Y15" si="1">IF(F9&lt;&gt;"",EPOW*WHOUR,"")</f>
        <v>72</v>
      </c>
      <c r="G15" s="3">
        <f t="shared" si="1"/>
        <v>72</v>
      </c>
      <c r="H15" s="3">
        <f t="shared" si="1"/>
        <v>72</v>
      </c>
      <c r="I15" s="3">
        <f t="shared" si="1"/>
        <v>72</v>
      </c>
      <c r="J15" s="3">
        <f t="shared" si="1"/>
        <v>72</v>
      </c>
      <c r="K15" s="3">
        <f t="shared" si="1"/>
        <v>72</v>
      </c>
      <c r="L15" s="3">
        <f t="shared" si="1"/>
        <v>72</v>
      </c>
      <c r="M15" s="3">
        <f t="shared" si="1"/>
        <v>72</v>
      </c>
      <c r="N15" s="3">
        <f t="shared" si="1"/>
        <v>72</v>
      </c>
      <c r="O15" s="3">
        <f t="shared" si="1"/>
        <v>72</v>
      </c>
      <c r="P15" s="3">
        <f t="shared" si="1"/>
        <v>72</v>
      </c>
      <c r="Q15" s="3">
        <f t="shared" si="1"/>
        <v>72</v>
      </c>
      <c r="R15" s="3">
        <f t="shared" si="1"/>
        <v>72</v>
      </c>
      <c r="S15" s="3">
        <f t="shared" si="1"/>
        <v>72</v>
      </c>
      <c r="T15" s="3">
        <f t="shared" si="1"/>
        <v>72</v>
      </c>
      <c r="U15" s="3">
        <f t="shared" si="1"/>
        <v>72</v>
      </c>
      <c r="V15" s="3">
        <f t="shared" si="1"/>
        <v>72</v>
      </c>
      <c r="W15" s="3">
        <f t="shared" si="1"/>
        <v>72</v>
      </c>
      <c r="X15" s="3">
        <f t="shared" si="1"/>
        <v>72</v>
      </c>
      <c r="Y15" s="3">
        <f t="shared" si="1"/>
        <v>72</v>
      </c>
    </row>
    <row r="16" spans="1:25" ht="18" x14ac:dyDescent="0.35">
      <c r="A16" s="68" t="s">
        <v>178</v>
      </c>
      <c r="B16" s="68"/>
      <c r="C16" s="68"/>
      <c r="D16" s="68"/>
      <c r="F16" s="3">
        <f t="shared" ref="F16:Y16" si="2">IF(F9&lt;&gt;"",IF(CARBON&lt;0,0,CARBON*HEAT),"")</f>
        <v>132.89796000000001</v>
      </c>
      <c r="G16" s="3">
        <f t="shared" si="2"/>
        <v>132.89796000000001</v>
      </c>
      <c r="H16" s="3">
        <f t="shared" si="2"/>
        <v>132.89796000000001</v>
      </c>
      <c r="I16" s="3">
        <f t="shared" si="2"/>
        <v>132.89796000000001</v>
      </c>
      <c r="J16" s="3">
        <f t="shared" si="2"/>
        <v>132.89796000000001</v>
      </c>
      <c r="K16" s="3">
        <f t="shared" si="2"/>
        <v>132.89796000000001</v>
      </c>
      <c r="L16" s="3">
        <f t="shared" si="2"/>
        <v>132.89796000000001</v>
      </c>
      <c r="M16" s="3">
        <f t="shared" si="2"/>
        <v>132.89796000000001</v>
      </c>
      <c r="N16" s="3">
        <f t="shared" si="2"/>
        <v>132.89796000000001</v>
      </c>
      <c r="O16" s="3">
        <f t="shared" si="2"/>
        <v>132.89796000000001</v>
      </c>
      <c r="P16" s="3">
        <f t="shared" si="2"/>
        <v>132.89796000000001</v>
      </c>
      <c r="Q16" s="3">
        <f t="shared" si="2"/>
        <v>132.89796000000001</v>
      </c>
      <c r="R16" s="3">
        <f t="shared" si="2"/>
        <v>132.89796000000001</v>
      </c>
      <c r="S16" s="3">
        <f t="shared" si="2"/>
        <v>132.89796000000001</v>
      </c>
      <c r="T16" s="3">
        <f t="shared" si="2"/>
        <v>132.89796000000001</v>
      </c>
      <c r="U16" s="3">
        <f t="shared" si="2"/>
        <v>132.89796000000001</v>
      </c>
      <c r="V16" s="3">
        <f t="shared" si="2"/>
        <v>132.89796000000001</v>
      </c>
      <c r="W16" s="3">
        <f t="shared" si="2"/>
        <v>132.89796000000001</v>
      </c>
      <c r="X16" s="3">
        <f t="shared" si="2"/>
        <v>132.89796000000001</v>
      </c>
      <c r="Y16" s="3">
        <f t="shared" si="2"/>
        <v>132.89796000000001</v>
      </c>
    </row>
    <row r="17" spans="1:25" x14ac:dyDescent="0.25">
      <c r="A17" s="22"/>
      <c r="B17" s="22"/>
      <c r="C17" s="22"/>
      <c r="D17" s="2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1" t="s">
        <v>166</v>
      </c>
      <c r="B18" s="61"/>
      <c r="C18" s="61"/>
      <c r="D18" s="61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5">
      <c r="A19" s="68" t="s">
        <v>91</v>
      </c>
      <c r="B19" s="68"/>
      <c r="C19" s="68"/>
      <c r="D19" s="68"/>
      <c r="F19" s="3">
        <f t="shared" ref="F19:Y19" si="3">IF(F9&lt;&gt;"",F14*etagrid*HPrice/Kurs_EUR,"")</f>
        <v>46583.704006332504</v>
      </c>
      <c r="G19" s="3">
        <f t="shared" si="3"/>
        <v>46583.704006332504</v>
      </c>
      <c r="H19" s="3">
        <f t="shared" si="3"/>
        <v>46583.704006332504</v>
      </c>
      <c r="I19" s="3">
        <f t="shared" si="3"/>
        <v>46583.704006332504</v>
      </c>
      <c r="J19" s="3">
        <f t="shared" si="3"/>
        <v>46583.704006332504</v>
      </c>
      <c r="K19" s="3">
        <f t="shared" si="3"/>
        <v>46583.704006332504</v>
      </c>
      <c r="L19" s="3">
        <f t="shared" si="3"/>
        <v>46583.704006332504</v>
      </c>
      <c r="M19" s="3">
        <f t="shared" si="3"/>
        <v>46583.704006332504</v>
      </c>
      <c r="N19" s="3">
        <f t="shared" si="3"/>
        <v>46583.704006332504</v>
      </c>
      <c r="O19" s="3">
        <f t="shared" si="3"/>
        <v>46583.704006332504</v>
      </c>
      <c r="P19" s="3">
        <f t="shared" si="3"/>
        <v>46583.704006332504</v>
      </c>
      <c r="Q19" s="3">
        <f t="shared" si="3"/>
        <v>46583.704006332504</v>
      </c>
      <c r="R19" s="3">
        <f t="shared" si="3"/>
        <v>46583.704006332504</v>
      </c>
      <c r="S19" s="3">
        <f t="shared" si="3"/>
        <v>46583.704006332504</v>
      </c>
      <c r="T19" s="3">
        <f t="shared" si="3"/>
        <v>46583.704006332504</v>
      </c>
      <c r="U19" s="3">
        <f t="shared" si="3"/>
        <v>46583.704006332504</v>
      </c>
      <c r="V19" s="3">
        <f t="shared" si="3"/>
        <v>46583.704006332504</v>
      </c>
      <c r="W19" s="3">
        <f t="shared" si="3"/>
        <v>46583.704006332504</v>
      </c>
      <c r="X19" s="3">
        <f t="shared" si="3"/>
        <v>46583.704006332504</v>
      </c>
      <c r="Y19" s="3">
        <f t="shared" si="3"/>
        <v>46583.704006332504</v>
      </c>
    </row>
    <row r="20" spans="1:25" ht="18" x14ac:dyDescent="0.35">
      <c r="A20" s="68" t="s">
        <v>100</v>
      </c>
      <c r="B20" s="68"/>
      <c r="C20" s="68"/>
      <c r="D20" s="68"/>
      <c r="F20" s="3">
        <f t="shared" ref="F20:Y20" si="4">F16*CO2Tax</f>
        <v>12949.577222400001</v>
      </c>
      <c r="G20" s="3">
        <f t="shared" si="4"/>
        <v>12949.577222400001</v>
      </c>
      <c r="H20" s="3">
        <f t="shared" si="4"/>
        <v>12949.577222400001</v>
      </c>
      <c r="I20" s="3">
        <f t="shared" si="4"/>
        <v>12949.577222400001</v>
      </c>
      <c r="J20" s="3">
        <f t="shared" si="4"/>
        <v>12949.577222400001</v>
      </c>
      <c r="K20" s="3">
        <f t="shared" si="4"/>
        <v>12949.577222400001</v>
      </c>
      <c r="L20" s="3">
        <f t="shared" si="4"/>
        <v>12949.577222400001</v>
      </c>
      <c r="M20" s="3">
        <f t="shared" si="4"/>
        <v>12949.577222400001</v>
      </c>
      <c r="N20" s="3">
        <f t="shared" si="4"/>
        <v>12949.577222400001</v>
      </c>
      <c r="O20" s="3">
        <f t="shared" si="4"/>
        <v>12949.577222400001</v>
      </c>
      <c r="P20" s="3">
        <f t="shared" si="4"/>
        <v>12949.577222400001</v>
      </c>
      <c r="Q20" s="3">
        <f t="shared" si="4"/>
        <v>12949.577222400001</v>
      </c>
      <c r="R20" s="3">
        <f t="shared" si="4"/>
        <v>12949.577222400001</v>
      </c>
      <c r="S20" s="3">
        <f t="shared" si="4"/>
        <v>12949.577222400001</v>
      </c>
      <c r="T20" s="3">
        <f t="shared" si="4"/>
        <v>12949.577222400001</v>
      </c>
      <c r="U20" s="3">
        <f t="shared" si="4"/>
        <v>12949.577222400001</v>
      </c>
      <c r="V20" s="3">
        <f t="shared" si="4"/>
        <v>12949.577222400001</v>
      </c>
      <c r="W20" s="3">
        <f t="shared" si="4"/>
        <v>12949.577222400001</v>
      </c>
      <c r="X20" s="3">
        <f t="shared" si="4"/>
        <v>12949.577222400001</v>
      </c>
      <c r="Y20" s="3">
        <f t="shared" si="4"/>
        <v>12949.577222400001</v>
      </c>
    </row>
    <row r="21" spans="1:25" x14ac:dyDescent="0.25">
      <c r="A21" s="74" t="s">
        <v>101</v>
      </c>
      <c r="B21" s="74"/>
      <c r="C21" s="74"/>
      <c r="D21" s="74"/>
      <c r="E21" s="29"/>
      <c r="F21" s="30">
        <f t="shared" ref="F21:Y21" si="5">IF(F9&lt;&gt;"",F19+F20,"")</f>
        <v>59533.281228732507</v>
      </c>
      <c r="G21" s="30">
        <f t="shared" si="5"/>
        <v>59533.281228732507</v>
      </c>
      <c r="H21" s="30">
        <f t="shared" si="5"/>
        <v>59533.281228732507</v>
      </c>
      <c r="I21" s="30">
        <f t="shared" si="5"/>
        <v>59533.281228732507</v>
      </c>
      <c r="J21" s="30">
        <f t="shared" si="5"/>
        <v>59533.281228732507</v>
      </c>
      <c r="K21" s="30">
        <f t="shared" si="5"/>
        <v>59533.281228732507</v>
      </c>
      <c r="L21" s="30">
        <f t="shared" si="5"/>
        <v>59533.281228732507</v>
      </c>
      <c r="M21" s="30">
        <f t="shared" si="5"/>
        <v>59533.281228732507</v>
      </c>
      <c r="N21" s="30">
        <f t="shared" si="5"/>
        <v>59533.281228732507</v>
      </c>
      <c r="O21" s="30">
        <f t="shared" si="5"/>
        <v>59533.281228732507</v>
      </c>
      <c r="P21" s="30">
        <f t="shared" si="5"/>
        <v>59533.281228732507</v>
      </c>
      <c r="Q21" s="30">
        <f t="shared" si="5"/>
        <v>59533.281228732507</v>
      </c>
      <c r="R21" s="30">
        <f t="shared" si="5"/>
        <v>59533.281228732507</v>
      </c>
      <c r="S21" s="30">
        <f t="shared" si="5"/>
        <v>59533.281228732507</v>
      </c>
      <c r="T21" s="30">
        <f t="shared" si="5"/>
        <v>59533.281228732507</v>
      </c>
      <c r="U21" s="30">
        <f t="shared" si="5"/>
        <v>59533.281228732507</v>
      </c>
      <c r="V21" s="30">
        <f t="shared" si="5"/>
        <v>59533.281228732507</v>
      </c>
      <c r="W21" s="30">
        <f t="shared" si="5"/>
        <v>59533.281228732507</v>
      </c>
      <c r="X21" s="30">
        <f t="shared" si="5"/>
        <v>59533.281228732507</v>
      </c>
      <c r="Y21" s="30">
        <f t="shared" si="5"/>
        <v>59533.281228732507</v>
      </c>
    </row>
    <row r="22" spans="1:25" x14ac:dyDescent="0.25">
      <c r="A22" s="69"/>
      <c r="B22" s="69"/>
      <c r="C22" s="69"/>
      <c r="D22" s="69"/>
    </row>
    <row r="23" spans="1:25" x14ac:dyDescent="0.25">
      <c r="A23" s="61" t="s">
        <v>145</v>
      </c>
      <c r="B23" s="61"/>
      <c r="C23" s="61"/>
      <c r="D23" s="61"/>
    </row>
    <row r="24" spans="1:25" x14ac:dyDescent="0.25">
      <c r="A24" s="68" t="s">
        <v>146</v>
      </c>
      <c r="B24" s="68"/>
      <c r="C24" s="68"/>
      <c r="D24" s="68"/>
      <c r="F24" s="3">
        <f>IF(F9&gt;UnosPodataka!$M$22,"",-VLOOKUP(F9,Anuiteti!$B$13:$E$32,3,FALSE))</f>
        <v>-10320</v>
      </c>
      <c r="G24" s="3">
        <f>IF(G9&gt;UnosPodataka!$M$22,"",-VLOOKUP(G9,Anuiteti!$B$13:$E$32,3,FALSE))</f>
        <v>-9731.9234258704073</v>
      </c>
      <c r="H24" s="3">
        <f>IF(H9&gt;UnosPodataka!$M$22,"",-VLOOKUP(H9,Anuiteti!$B$13:$E$32,3,FALSE))</f>
        <v>-9073.2776628452666</v>
      </c>
      <c r="I24" s="3">
        <f>IF(I9&gt;UnosPodataka!$M$22,"",-VLOOKUP(I9,Anuiteti!$B$13:$E$32,3,FALSE))</f>
        <v>-8335.5944082571077</v>
      </c>
      <c r="J24" s="3">
        <f>IF(J9&gt;UnosPodataka!$M$22,"",-VLOOKUP(J9,Anuiteti!$B$13:$E$32,3,FALSE))</f>
        <v>-7509.3891631183687</v>
      </c>
      <c r="K24" s="3">
        <f>IF(K9&gt;UnosPodataka!$M$22,"",-VLOOKUP(K9,Anuiteti!$B$13:$E$32,3,FALSE))</f>
        <v>-6584.0392885629808</v>
      </c>
      <c r="L24" s="3">
        <f>IF(L9&gt;UnosPodataka!$M$22,"",-VLOOKUP(L9,Anuiteti!$B$13:$E$32,3,FALSE))</f>
        <v>-5547.6474290609476</v>
      </c>
      <c r="M24" s="3">
        <f>IF(M9&gt;UnosPodataka!$M$22,"",-VLOOKUP(M9,Anuiteti!$B$13:$E$32,3,FALSE))</f>
        <v>-4386.8885464186696</v>
      </c>
      <c r="N24" s="3">
        <f>IF(N9&gt;UnosPodataka!$M$22,"",-VLOOKUP(N9,Anuiteti!$B$13:$E$32,3,FALSE))</f>
        <v>-3086.8385978593187</v>
      </c>
      <c r="O24" s="3">
        <f>IF(O9&gt;UnosPodataka!$M$22,"",-VLOOKUP(O9,Anuiteti!$B$13:$E$32,3,FALSE))</f>
        <v>-1630.782655472846</v>
      </c>
      <c r="P24" s="3" t="str">
        <f>IF(P9&gt;UnosPodataka!$M$22,"",-VLOOKUP(P9,Anuiteti!$B$13:$E$32,3,FALSE))</f>
        <v/>
      </c>
      <c r="Q24" s="3" t="str">
        <f>IF(Q9&gt;UnosPodataka!$M$22,"",-VLOOKUP(Q9,Anuiteti!$B$13:$E$32,3,FALSE))</f>
        <v/>
      </c>
      <c r="R24" s="3" t="str">
        <f>IF(R9&gt;UnosPodataka!$M$22,"",-VLOOKUP(R9,Anuiteti!$B$13:$E$32,3,FALSE))</f>
        <v/>
      </c>
      <c r="S24" s="3" t="str">
        <f>IF(S9&gt;UnosPodataka!$M$22,"",-VLOOKUP(S9,Anuiteti!$B$13:$E$32,3,FALSE))</f>
        <v/>
      </c>
      <c r="T24" s="3" t="str">
        <f>IF(T9&gt;UnosPodataka!$M$22,"",-VLOOKUP(T9,Anuiteti!$B$13:$E$32,3,FALSE))</f>
        <v/>
      </c>
      <c r="U24" s="3" t="str">
        <f>IF(U9&gt;UnosPodataka!$M$22,"",-VLOOKUP(U9,Anuiteti!$B$13:$E$32,3,FALSE))</f>
        <v/>
      </c>
      <c r="V24" s="3" t="str">
        <f>IF(V9&gt;UnosPodataka!$M$22,"",-VLOOKUP(V9,Anuiteti!$B$13:$E$32,3,FALSE))</f>
        <v/>
      </c>
      <c r="W24" s="3" t="str">
        <f>IF(W9&gt;UnosPodataka!$M$22,"",-VLOOKUP(W9,Anuiteti!$B$13:$E$32,3,FALSE))</f>
        <v/>
      </c>
      <c r="X24" s="3" t="str">
        <f>IF(X9&gt;UnosPodataka!$M$22,"",-VLOOKUP(X9,Anuiteti!$B$13:$E$32,3,FALSE))</f>
        <v/>
      </c>
      <c r="Y24" s="3" t="str">
        <f>IF(Y9&gt;UnosPodataka!$M$22,"",-VLOOKUP(Y9,Anuiteti!$B$13:$E$32,3,FALSE))</f>
        <v/>
      </c>
    </row>
    <row r="25" spans="1:25" x14ac:dyDescent="0.25">
      <c r="A25" s="22" t="s">
        <v>147</v>
      </c>
      <c r="B25" s="22"/>
      <c r="C25" s="22"/>
      <c r="D25" s="22"/>
      <c r="F25" s="3">
        <f>IF(F24="",0,IF(F9&gt;UnosPodataka!$M$25,"",VLOOKUP(F9,Anuiteti!$B$13:$E$32,4,FALSE)+VLOOKUP(F9,Anuiteti!$B$13:$E$32,3,FALSE)))</f>
        <v>-4900.6381177465919</v>
      </c>
      <c r="G25" s="3">
        <f>IF(G24="",0,IF(G9&gt;UnosPodataka!$M$25,"",VLOOKUP(G9,Anuiteti!$B$13:$E$32,4,FALSE)+VLOOKUP(G9,Anuiteti!$B$13:$E$32,3,FALSE)))</f>
        <v>-5488.7146918761846</v>
      </c>
      <c r="H25" s="3">
        <f>IF(H24="",0,IF(H9&gt;UnosPodataka!$M$25,"",VLOOKUP(H9,Anuiteti!$B$13:$E$32,4,FALSE)+VLOOKUP(H9,Anuiteti!$B$13:$E$32,3,FALSE)))</f>
        <v>-6147.3604549013253</v>
      </c>
      <c r="I25" s="3">
        <f>IF(I24="",0,IF(I9&gt;UnosPodataka!$M$25,"",VLOOKUP(I9,Anuiteti!$B$13:$E$32,4,FALSE)+VLOOKUP(I9,Anuiteti!$B$13:$E$32,3,FALSE)))</f>
        <v>-6885.0437094894842</v>
      </c>
      <c r="J25" s="3">
        <f>IF(J24="",0,IF(J9&gt;UnosPodataka!$M$25,"",VLOOKUP(J9,Anuiteti!$B$13:$E$32,4,FALSE)+VLOOKUP(J9,Anuiteti!$B$13:$E$32,3,FALSE)))</f>
        <v>-7711.2489546282231</v>
      </c>
      <c r="K25" s="3">
        <f>IF(K24="",0,IF(K9&gt;UnosPodataka!$M$25,"",VLOOKUP(K9,Anuiteti!$B$13:$E$32,4,FALSE)+VLOOKUP(K9,Anuiteti!$B$13:$E$32,3,FALSE)))</f>
        <v>-8636.5988291836111</v>
      </c>
      <c r="L25" s="3">
        <f>IF(L24="",0,IF(L9&gt;UnosPodataka!$M$25,"",VLOOKUP(L9,Anuiteti!$B$13:$E$32,4,FALSE)+VLOOKUP(L9,Anuiteti!$B$13:$E$32,3,FALSE)))</f>
        <v>-9672.9906886856443</v>
      </c>
      <c r="M25" s="3">
        <f>IF(M24="",0,IF(M9&gt;UnosPodataka!$M$25,"",VLOOKUP(M9,Anuiteti!$B$13:$E$32,4,FALSE)+VLOOKUP(M9,Anuiteti!$B$13:$E$32,3,FALSE)))</f>
        <v>-10833.749571327922</v>
      </c>
      <c r="N25" s="3">
        <f>IF(N24="",0,IF(N9&gt;UnosPodataka!$M$25,"",VLOOKUP(N9,Anuiteti!$B$13:$E$32,4,FALSE)+VLOOKUP(N9,Anuiteti!$B$13:$E$32,3,FALSE)))</f>
        <v>-12133.799519887274</v>
      </c>
      <c r="O25" s="3">
        <f>IF(O24="",0,IF(O9&gt;UnosPodataka!$M$25,"",VLOOKUP(O9,Anuiteti!$B$13:$E$32,4,FALSE)+VLOOKUP(O9,Anuiteti!$B$13:$E$32,3,FALSE)))</f>
        <v>-13589.855462273747</v>
      </c>
      <c r="P25" s="3">
        <f>IF(P24="",0,IF(P9&gt;UnosPodataka!$M$25,"",VLOOKUP(P9,Anuiteti!$B$13:$E$32,4,FALSE)+VLOOKUP(P9,Anuiteti!$B$13:$E$32,3,FALSE)))</f>
        <v>0</v>
      </c>
      <c r="Q25" s="3">
        <f>IF(Q24="",0,IF(Q9&gt;UnosPodataka!$M$25,"",VLOOKUP(Q9,Anuiteti!$B$13:$E$32,4,FALSE)+VLOOKUP(Q9,Anuiteti!$B$13:$E$32,3,FALSE)))</f>
        <v>0</v>
      </c>
      <c r="R25" s="3">
        <f>IF(R24="",0,IF(R9&gt;UnosPodataka!$M$25,"",VLOOKUP(R9,Anuiteti!$B$13:$E$32,4,FALSE)+VLOOKUP(R9,Anuiteti!$B$13:$E$32,3,FALSE)))</f>
        <v>0</v>
      </c>
      <c r="S25" s="3">
        <f>IF(S24="",0,IF(S9&gt;UnosPodataka!$M$25,"",VLOOKUP(S9,Anuiteti!$B$13:$E$32,4,FALSE)+VLOOKUP(S9,Anuiteti!$B$13:$E$32,3,FALSE)))</f>
        <v>0</v>
      </c>
      <c r="T25" s="3">
        <f>IF(T24="",0,IF(T9&gt;UnosPodataka!$M$25,"",VLOOKUP(T9,Anuiteti!$B$13:$E$32,4,FALSE)+VLOOKUP(T9,Anuiteti!$B$13:$E$32,3,FALSE)))</f>
        <v>0</v>
      </c>
      <c r="U25" s="3">
        <f>IF(U24="",0,IF(U9&gt;UnosPodataka!$M$25,"",VLOOKUP(U9,Anuiteti!$B$13:$E$32,4,FALSE)+VLOOKUP(U9,Anuiteti!$B$13:$E$32,3,FALSE)))</f>
        <v>0</v>
      </c>
      <c r="V25" s="3">
        <f>IF(V24="",0,IF(V9&gt;UnosPodataka!$M$25,"",VLOOKUP(V9,Anuiteti!$B$13:$E$32,4,FALSE)+VLOOKUP(V9,Anuiteti!$B$13:$E$32,3,FALSE)))</f>
        <v>0</v>
      </c>
      <c r="W25" s="3">
        <f>IF(W24="",0,IF(W9&gt;UnosPodataka!$M$25,"",VLOOKUP(W9,Anuiteti!$B$13:$E$32,4,FALSE)+VLOOKUP(W9,Anuiteti!$B$13:$E$32,3,FALSE)))</f>
        <v>0</v>
      </c>
      <c r="X25" s="3">
        <f>IF(X24="",0,IF(X9&gt;UnosPodataka!$M$25,"",VLOOKUP(X9,Anuiteti!$B$13:$E$32,4,FALSE)+VLOOKUP(X9,Anuiteti!$B$13:$E$32,3,FALSE)))</f>
        <v>0</v>
      </c>
      <c r="Y25" s="3">
        <f>IF(Y24="",0,IF(Y9&gt;UnosPodataka!$M$25,"",VLOOKUP(Y9,Anuiteti!$B$13:$E$32,4,FALSE)+VLOOKUP(Y9,Anuiteti!$B$13:$E$32,3,FALSE)))</f>
        <v>0</v>
      </c>
    </row>
    <row r="26" spans="1:25" x14ac:dyDescent="0.25">
      <c r="A26" s="68" t="s">
        <v>92</v>
      </c>
      <c r="B26" s="68"/>
      <c r="C26" s="68"/>
      <c r="D26" s="68"/>
      <c r="F26" s="3">
        <f>IF(F9&lt;&gt;"",-UnosPodataka!$M$9,"")</f>
        <v>-100</v>
      </c>
      <c r="G26" s="3">
        <f>IF(G9&lt;&gt;"",-UnosPodataka!$M$9,"")</f>
        <v>-100</v>
      </c>
      <c r="H26" s="3">
        <f>IF(H9&lt;&gt;"",-UnosPodataka!$M$9,"")</f>
        <v>-100</v>
      </c>
      <c r="I26" s="3">
        <f>IF(I9&lt;&gt;"",-UnosPodataka!$M$9,"")</f>
        <v>-100</v>
      </c>
      <c r="J26" s="3">
        <f>IF(J9&lt;&gt;"",-UnosPodataka!$M$9,"")</f>
        <v>-100</v>
      </c>
      <c r="K26" s="3">
        <f>IF(K9&lt;&gt;"",-UnosPodataka!$M$9,"")</f>
        <v>-100</v>
      </c>
      <c r="L26" s="3">
        <f>IF(L9&lt;&gt;"",-UnosPodataka!$M$9,"")</f>
        <v>-100</v>
      </c>
      <c r="M26" s="3">
        <f>IF(M9&lt;&gt;"",-UnosPodataka!$M$9,"")</f>
        <v>-100</v>
      </c>
      <c r="N26" s="3">
        <f>IF(N9&lt;&gt;"",-UnosPodataka!$M$9,"")</f>
        <v>-100</v>
      </c>
      <c r="O26" s="3">
        <f>IF(O9&lt;&gt;"",-UnosPodataka!$M$9,"")</f>
        <v>-100</v>
      </c>
      <c r="P26" s="3">
        <f>IF(P9&lt;&gt;"",-UnosPodataka!$M$9,"")</f>
        <v>-100</v>
      </c>
      <c r="Q26" s="3">
        <f>IF(Q9&lt;&gt;"",-UnosPodataka!$M$9,"")</f>
        <v>-100</v>
      </c>
      <c r="R26" s="3">
        <f>IF(R9&lt;&gt;"",-UnosPodataka!$M$9,"")</f>
        <v>-100</v>
      </c>
      <c r="S26" s="3">
        <f>IF(S9&lt;&gt;"",-UnosPodataka!$M$9,"")</f>
        <v>-100</v>
      </c>
      <c r="T26" s="3">
        <f>IF(T9&lt;&gt;"",-UnosPodataka!$M$9,"")</f>
        <v>-100</v>
      </c>
      <c r="U26" s="3">
        <f>IF(U9&lt;&gt;"",-UnosPodataka!$M$9,"")</f>
        <v>-100</v>
      </c>
      <c r="V26" s="3">
        <f>IF(V9&lt;&gt;"",-UnosPodataka!$M$9,"")</f>
        <v>-100</v>
      </c>
      <c r="W26" s="3">
        <f>IF(W9&lt;&gt;"",-UnosPodataka!$M$9,"")</f>
        <v>-100</v>
      </c>
      <c r="X26" s="3">
        <f>IF(X9&lt;&gt;"",-UnosPodataka!$M$9,"")</f>
        <v>-100</v>
      </c>
      <c r="Y26" s="3">
        <f>IF(Y9&lt;&gt;"",-UnosPodataka!$M$9,"")</f>
        <v>-100</v>
      </c>
    </row>
    <row r="27" spans="1:25" x14ac:dyDescent="0.25">
      <c r="A27" s="68" t="s">
        <v>93</v>
      </c>
      <c r="B27" s="68"/>
      <c r="C27" s="68"/>
      <c r="D27" s="68"/>
      <c r="F27" s="3">
        <f>IF(F9&lt;&gt;"",-Investment*UnosPodataka!$M$11,"")</f>
        <v>-13980</v>
      </c>
      <c r="G27" s="3">
        <f>IF(G9&lt;&gt;"",-Investment*UnosPodataka!$M$11,"")</f>
        <v>-13980</v>
      </c>
      <c r="H27" s="3">
        <f>IF(H9&lt;&gt;"",-Investment*UnosPodataka!$M$11,"")</f>
        <v>-13980</v>
      </c>
      <c r="I27" s="3">
        <f>IF(I9&lt;&gt;"",-Investment*UnosPodataka!$M$11,"")</f>
        <v>-13980</v>
      </c>
      <c r="J27" s="3">
        <f>IF(J9&lt;&gt;"",-Investment*UnosPodataka!$M$11,"")</f>
        <v>-13980</v>
      </c>
      <c r="K27" s="3">
        <f>IF(K9&lt;&gt;"",-Investment*UnosPodataka!$M$11,"")</f>
        <v>-13980</v>
      </c>
      <c r="L27" s="3">
        <f>IF(L9&lt;&gt;"",-Investment*UnosPodataka!$M$11,"")</f>
        <v>-13980</v>
      </c>
      <c r="M27" s="3">
        <f>IF(M9&lt;&gt;"",-Investment*UnosPodataka!$M$11,"")</f>
        <v>-13980</v>
      </c>
      <c r="N27" s="3">
        <f>IF(N9&lt;&gt;"",-Investment*UnosPodataka!$M$11,"")</f>
        <v>-13980</v>
      </c>
      <c r="O27" s="3">
        <f>IF(O9&lt;&gt;"",-Investment*UnosPodataka!$M$11,"")</f>
        <v>-13980</v>
      </c>
      <c r="P27" s="3">
        <f>IF(P9&lt;&gt;"",-Investment*UnosPodataka!$M$11,"")</f>
        <v>-13980</v>
      </c>
      <c r="Q27" s="3">
        <f>IF(Q9&lt;&gt;"",-Investment*UnosPodataka!$M$11,"")</f>
        <v>-13980</v>
      </c>
      <c r="R27" s="3">
        <f>IF(R9&lt;&gt;"",-Investment*UnosPodataka!$M$11,"")</f>
        <v>-13980</v>
      </c>
      <c r="S27" s="3">
        <f>IF(S9&lt;&gt;"",-Investment*UnosPodataka!$M$11,"")</f>
        <v>-13980</v>
      </c>
      <c r="T27" s="3">
        <f>IF(T9&lt;&gt;"",-Investment*UnosPodataka!$M$11,"")</f>
        <v>-13980</v>
      </c>
      <c r="U27" s="3">
        <f>IF(U9&lt;&gt;"",-Investment*UnosPodataka!$M$11,"")</f>
        <v>-13980</v>
      </c>
      <c r="V27" s="3">
        <f>IF(V9&lt;&gt;"",-Investment*UnosPodataka!$M$11,"")</f>
        <v>-13980</v>
      </c>
      <c r="W27" s="3">
        <f>IF(W9&lt;&gt;"",-Investment*UnosPodataka!$M$11,"")</f>
        <v>-13980</v>
      </c>
      <c r="X27" s="3">
        <f>IF(X9&lt;&gt;"",-Investment*UnosPodataka!$M$11,"")</f>
        <v>-13980</v>
      </c>
      <c r="Y27" s="3">
        <f>IF(Y9&lt;&gt;"",-Investment*UnosPodataka!$M$11,"")</f>
        <v>-13980</v>
      </c>
    </row>
    <row r="28" spans="1:25" x14ac:dyDescent="0.25">
      <c r="A28" s="68" t="s">
        <v>102</v>
      </c>
      <c r="B28" s="68"/>
      <c r="C28" s="68"/>
      <c r="D28" s="68"/>
      <c r="F28" s="3">
        <f t="shared" ref="F28:Y28" si="6">IF(F9&lt;&gt;"",-EPOW*WHOUR*EPrice/Kurs_EUR,"")</f>
        <v>-7402.9058039476031</v>
      </c>
      <c r="G28" s="3">
        <f t="shared" si="6"/>
        <v>-7402.9058039476031</v>
      </c>
      <c r="H28" s="3">
        <f t="shared" si="6"/>
        <v>-7402.9058039476031</v>
      </c>
      <c r="I28" s="3">
        <f t="shared" si="6"/>
        <v>-7402.9058039476031</v>
      </c>
      <c r="J28" s="3">
        <f t="shared" si="6"/>
        <v>-7402.9058039476031</v>
      </c>
      <c r="K28" s="3">
        <f t="shared" si="6"/>
        <v>-7402.9058039476031</v>
      </c>
      <c r="L28" s="3">
        <f t="shared" si="6"/>
        <v>-7402.9058039476031</v>
      </c>
      <c r="M28" s="3">
        <f t="shared" si="6"/>
        <v>-7402.9058039476031</v>
      </c>
      <c r="N28" s="3">
        <f t="shared" si="6"/>
        <v>-7402.9058039476031</v>
      </c>
      <c r="O28" s="3">
        <f t="shared" si="6"/>
        <v>-7402.9058039476031</v>
      </c>
      <c r="P28" s="3">
        <f t="shared" si="6"/>
        <v>-7402.9058039476031</v>
      </c>
      <c r="Q28" s="3">
        <f t="shared" si="6"/>
        <v>-7402.9058039476031</v>
      </c>
      <c r="R28" s="3">
        <f t="shared" si="6"/>
        <v>-7402.9058039476031</v>
      </c>
      <c r="S28" s="3">
        <f t="shared" si="6"/>
        <v>-7402.9058039476031</v>
      </c>
      <c r="T28" s="3">
        <f t="shared" si="6"/>
        <v>-7402.9058039476031</v>
      </c>
      <c r="U28" s="3">
        <f t="shared" si="6"/>
        <v>-7402.9058039476031</v>
      </c>
      <c r="V28" s="3">
        <f t="shared" si="6"/>
        <v>-7402.9058039476031</v>
      </c>
      <c r="W28" s="3">
        <f t="shared" si="6"/>
        <v>-7402.9058039476031</v>
      </c>
      <c r="X28" s="3">
        <f t="shared" si="6"/>
        <v>-7402.9058039476031</v>
      </c>
      <c r="Y28" s="3">
        <f t="shared" si="6"/>
        <v>-7402.9058039476031</v>
      </c>
    </row>
    <row r="29" spans="1:25" x14ac:dyDescent="0.25">
      <c r="A29" s="68" t="s">
        <v>167</v>
      </c>
      <c r="B29" s="68"/>
      <c r="C29" s="68"/>
      <c r="D29" s="68"/>
      <c r="F29" s="3">
        <f>IF(F9&lt;&gt;"",-Investment*UnosPodataka!$M$12,"")</f>
        <v>-46600</v>
      </c>
      <c r="G29" s="3">
        <f>IF(G9&lt;&gt;"",-Investment*UnosPodataka!$M$12,"")</f>
        <v>-46600</v>
      </c>
      <c r="H29" s="3">
        <f>IF(H9&lt;&gt;"",-Investment*UnosPodataka!$M$12,"")</f>
        <v>-46600</v>
      </c>
      <c r="I29" s="3">
        <f>IF(I9&lt;&gt;"",-Investment*UnosPodataka!$M$12,"")</f>
        <v>-46600</v>
      </c>
      <c r="J29" s="3">
        <f>IF(J9&lt;&gt;"",-Investment*UnosPodataka!$M$12,"")</f>
        <v>-46600</v>
      </c>
      <c r="K29" s="3">
        <f>IF(K9&lt;&gt;"",-Investment*UnosPodataka!$M$12,"")</f>
        <v>-46600</v>
      </c>
      <c r="L29" s="3">
        <f>IF(L9&lt;&gt;"",-Investment*UnosPodataka!$M$12,"")</f>
        <v>-46600</v>
      </c>
      <c r="M29" s="3">
        <f>IF(M9&lt;&gt;"",-Investment*UnosPodataka!$M$12,"")</f>
        <v>-46600</v>
      </c>
      <c r="N29" s="3">
        <f>IF(N9&lt;&gt;"",-Investment*UnosPodataka!$M$12,"")</f>
        <v>-46600</v>
      </c>
      <c r="O29" s="3">
        <f>IF(O9&lt;&gt;"",-Investment*UnosPodataka!$M$12,"")</f>
        <v>-46600</v>
      </c>
      <c r="P29" s="3">
        <f>IF(P9&lt;&gt;"",-Investment*UnosPodataka!$M$12,"")</f>
        <v>-46600</v>
      </c>
      <c r="Q29" s="3">
        <f>IF(Q9&lt;&gt;"",-Investment*UnosPodataka!$M$12,"")</f>
        <v>-46600</v>
      </c>
      <c r="R29" s="3">
        <f>IF(R9&lt;&gt;"",-Investment*UnosPodataka!$M$12,"")</f>
        <v>-46600</v>
      </c>
      <c r="S29" s="3">
        <f>IF(S9&lt;&gt;"",-Investment*UnosPodataka!$M$12,"")</f>
        <v>-46600</v>
      </c>
      <c r="T29" s="3">
        <f>IF(T9&lt;&gt;"",-Investment*UnosPodataka!$M$12,"")</f>
        <v>-46600</v>
      </c>
      <c r="U29" s="3">
        <f>IF(U9&lt;&gt;"",-Investment*UnosPodataka!$M$12,"")</f>
        <v>-46600</v>
      </c>
      <c r="V29" s="3">
        <f>IF(V9&lt;&gt;"",-Investment*UnosPodataka!$M$12,"")</f>
        <v>-46600</v>
      </c>
      <c r="W29" s="3">
        <f>IF(W9&lt;&gt;"",-Investment*UnosPodataka!$M$12,"")</f>
        <v>-46600</v>
      </c>
      <c r="X29" s="3">
        <f>IF(X9&lt;&gt;"",-Investment*UnosPodataka!$M$12,"")</f>
        <v>-46600</v>
      </c>
      <c r="Y29" s="3">
        <f>IF(Y9&lt;&gt;"",-Investment*UnosPodataka!$M$12,"")</f>
        <v>-46600</v>
      </c>
    </row>
    <row r="30" spans="1:25" x14ac:dyDescent="0.25">
      <c r="A30" s="68" t="s">
        <v>103</v>
      </c>
      <c r="B30" s="68"/>
      <c r="C30" s="68"/>
      <c r="D30" s="68"/>
      <c r="F30" s="3">
        <f>IF(F9&lt;&gt;"",-(1-UnosPodataka!$M$10)*'FinInd+CO2'!F19,"")</f>
        <v>0</v>
      </c>
      <c r="G30" s="3">
        <f>IF(G9&lt;&gt;"",-(1-UnosPodataka!$M$10)*'FinInd+CO2'!G19,"")</f>
        <v>0</v>
      </c>
      <c r="H30" s="3">
        <f>IF(H9&lt;&gt;"",-(1-UnosPodataka!$M$10)*'FinInd+CO2'!H19,"")</f>
        <v>0</v>
      </c>
      <c r="I30" s="3">
        <f>IF(I9&lt;&gt;"",-(1-UnosPodataka!$M$10)*'FinInd+CO2'!I19,"")</f>
        <v>0</v>
      </c>
      <c r="J30" s="3">
        <f>IF(J9&lt;&gt;"",-(1-UnosPodataka!$M$10)*'FinInd+CO2'!J19,"")</f>
        <v>0</v>
      </c>
      <c r="K30" s="3">
        <f>IF(K9&lt;&gt;"",-(1-UnosPodataka!$M$10)*'FinInd+CO2'!K19,"")</f>
        <v>0</v>
      </c>
      <c r="L30" s="3">
        <f>IF(L9&lt;&gt;"",-(1-UnosPodataka!$M$10)*'FinInd+CO2'!L19,"")</f>
        <v>0</v>
      </c>
      <c r="M30" s="3">
        <f>IF(M9&lt;&gt;"",-(1-UnosPodataka!$M$10)*'FinInd+CO2'!M19,"")</f>
        <v>0</v>
      </c>
      <c r="N30" s="3">
        <f>IF(N9&lt;&gt;"",-(1-UnosPodataka!$M$10)*'FinInd+CO2'!N19,"")</f>
        <v>0</v>
      </c>
      <c r="O30" s="3">
        <f>IF(O9&lt;&gt;"",-(1-UnosPodataka!$M$10)*'FinInd+CO2'!O19,"")</f>
        <v>0</v>
      </c>
      <c r="P30" s="3">
        <f>IF(P9&lt;&gt;"",-(1-UnosPodataka!$M$10)*'FinInd+CO2'!P19,"")</f>
        <v>0</v>
      </c>
      <c r="Q30" s="3">
        <f>IF(Q9&lt;&gt;"",-(1-UnosPodataka!$M$10)*'FinInd+CO2'!Q19,"")</f>
        <v>0</v>
      </c>
      <c r="R30" s="3">
        <f>IF(R9&lt;&gt;"",-(1-UnosPodataka!$M$10)*'FinInd+CO2'!R19,"")</f>
        <v>0</v>
      </c>
      <c r="S30" s="3">
        <f>IF(S9&lt;&gt;"",-(1-UnosPodataka!$M$10)*'FinInd+CO2'!S19,"")</f>
        <v>0</v>
      </c>
      <c r="T30" s="3">
        <f>IF(T9&lt;&gt;"",-(1-UnosPodataka!$M$10)*'FinInd+CO2'!T19,"")</f>
        <v>0</v>
      </c>
      <c r="U30" s="3">
        <f>IF(U9&lt;&gt;"",-(1-UnosPodataka!$M$10)*'FinInd+CO2'!U19,"")</f>
        <v>0</v>
      </c>
      <c r="V30" s="3">
        <f>IF(V9&lt;&gt;"",-(1-UnosPodataka!$M$10)*'FinInd+CO2'!V19,"")</f>
        <v>0</v>
      </c>
      <c r="W30" s="3">
        <f>IF(W9&lt;&gt;"",-(1-UnosPodataka!$M$10)*'FinInd+CO2'!W19,"")</f>
        <v>0</v>
      </c>
      <c r="X30" s="3">
        <f>IF(X9&lt;&gt;"",-(1-UnosPodataka!$M$10)*'FinInd+CO2'!X19,"")</f>
        <v>0</v>
      </c>
      <c r="Y30" s="3">
        <f>IF(Y9&lt;&gt;"",-(1-UnosPodataka!$M$10)*'FinInd+CO2'!Y19,"")</f>
        <v>0</v>
      </c>
    </row>
    <row r="31" spans="1:25" x14ac:dyDescent="0.25">
      <c r="A31" s="74" t="s">
        <v>104</v>
      </c>
      <c r="B31" s="74"/>
      <c r="C31" s="74"/>
      <c r="D31" s="74"/>
      <c r="E31" s="30">
        <f>-SUM(E11:E13)</f>
        <v>-466000</v>
      </c>
      <c r="F31" s="30">
        <f t="shared" ref="F31:Y31" si="7">IF(F9&lt;&gt;"",SUM(F24:F30),"")</f>
        <v>-83303.543921694189</v>
      </c>
      <c r="G31" s="30">
        <f t="shared" si="7"/>
        <v>-83303.543921694189</v>
      </c>
      <c r="H31" s="30">
        <f t="shared" si="7"/>
        <v>-83303.543921694189</v>
      </c>
      <c r="I31" s="30">
        <f t="shared" si="7"/>
        <v>-83303.543921694189</v>
      </c>
      <c r="J31" s="30">
        <f t="shared" si="7"/>
        <v>-83303.543921694189</v>
      </c>
      <c r="K31" s="30">
        <f t="shared" si="7"/>
        <v>-83303.543921694189</v>
      </c>
      <c r="L31" s="30">
        <f t="shared" si="7"/>
        <v>-83303.543921694189</v>
      </c>
      <c r="M31" s="30">
        <f t="shared" si="7"/>
        <v>-83303.543921694189</v>
      </c>
      <c r="N31" s="30">
        <f t="shared" si="7"/>
        <v>-83303.543921694189</v>
      </c>
      <c r="O31" s="30">
        <f t="shared" si="7"/>
        <v>-83303.543921694189</v>
      </c>
      <c r="P31" s="30">
        <f t="shared" si="7"/>
        <v>-68082.905803947608</v>
      </c>
      <c r="Q31" s="30">
        <f t="shared" si="7"/>
        <v>-68082.905803947608</v>
      </c>
      <c r="R31" s="30">
        <f t="shared" si="7"/>
        <v>-68082.905803947608</v>
      </c>
      <c r="S31" s="30">
        <f t="shared" si="7"/>
        <v>-68082.905803947608</v>
      </c>
      <c r="T31" s="30">
        <f t="shared" si="7"/>
        <v>-68082.905803947608</v>
      </c>
      <c r="U31" s="30">
        <f t="shared" si="7"/>
        <v>-68082.905803947608</v>
      </c>
      <c r="V31" s="30">
        <f t="shared" si="7"/>
        <v>-68082.905803947608</v>
      </c>
      <c r="W31" s="30">
        <f t="shared" si="7"/>
        <v>-68082.905803947608</v>
      </c>
      <c r="X31" s="30">
        <f t="shared" si="7"/>
        <v>-68082.905803947608</v>
      </c>
      <c r="Y31" s="30">
        <f t="shared" si="7"/>
        <v>-68082.905803947608</v>
      </c>
    </row>
    <row r="33" spans="1:25" x14ac:dyDescent="0.25">
      <c r="A33" t="s">
        <v>168</v>
      </c>
      <c r="E33" s="3">
        <f>+E31</f>
        <v>-466000</v>
      </c>
      <c r="F33" s="3">
        <f>+F31-F29-F36</f>
        <v>-36703.543921694189</v>
      </c>
      <c r="G33" s="3">
        <f t="shared" ref="G33:Y33" si="8">+G31-G29-G36</f>
        <v>-36703.543921694189</v>
      </c>
      <c r="H33" s="3">
        <f t="shared" si="8"/>
        <v>-36703.543921694189</v>
      </c>
      <c r="I33" s="3">
        <f t="shared" si="8"/>
        <v>-36703.543921694189</v>
      </c>
      <c r="J33" s="3">
        <f t="shared" si="8"/>
        <v>-36703.543921694189</v>
      </c>
      <c r="K33" s="3">
        <f t="shared" si="8"/>
        <v>-36703.543921694189</v>
      </c>
      <c r="L33" s="3">
        <f t="shared" si="8"/>
        <v>-36703.543921694189</v>
      </c>
      <c r="M33" s="3">
        <f t="shared" si="8"/>
        <v>-36703.543921694189</v>
      </c>
      <c r="N33" s="3">
        <f t="shared" si="8"/>
        <v>-36703.543921694189</v>
      </c>
      <c r="O33" s="3">
        <f t="shared" si="8"/>
        <v>-36703.543921694189</v>
      </c>
      <c r="P33" s="3">
        <f t="shared" si="8"/>
        <v>-21482.905803947608</v>
      </c>
      <c r="Q33" s="3">
        <f t="shared" si="8"/>
        <v>-21482.905803947608</v>
      </c>
      <c r="R33" s="3">
        <f t="shared" si="8"/>
        <v>-21482.905803947608</v>
      </c>
      <c r="S33" s="3">
        <f t="shared" si="8"/>
        <v>-21482.905803947608</v>
      </c>
      <c r="T33" s="3">
        <f t="shared" si="8"/>
        <v>-21482.905803947608</v>
      </c>
      <c r="U33" s="3">
        <f t="shared" si="8"/>
        <v>-21482.905803947608</v>
      </c>
      <c r="V33" s="3">
        <f t="shared" si="8"/>
        <v>-21482.905803947608</v>
      </c>
      <c r="W33" s="3">
        <f t="shared" si="8"/>
        <v>-21482.905803947608</v>
      </c>
      <c r="X33" s="3">
        <f t="shared" si="8"/>
        <v>-21482.905803947608</v>
      </c>
      <c r="Y33" s="3">
        <f t="shared" si="8"/>
        <v>-21482.905803947608</v>
      </c>
    </row>
    <row r="34" spans="1:25" x14ac:dyDescent="0.25">
      <c r="A34" s="61" t="s">
        <v>148</v>
      </c>
      <c r="B34" s="61"/>
      <c r="C34" s="61"/>
      <c r="D34" s="61"/>
      <c r="E34" s="3">
        <f t="shared" ref="E34:Y34" si="9">IF(E9&lt;&gt;"",E21+E31-E25,"")</f>
        <v>-466000</v>
      </c>
      <c r="F34" s="3">
        <f>IF(F9&lt;&gt;"",F21+F31-F25,"")</f>
        <v>-18869.62457521509</v>
      </c>
      <c r="G34" s="3">
        <f t="shared" si="9"/>
        <v>-18281.548001085495</v>
      </c>
      <c r="H34" s="3">
        <f t="shared" si="9"/>
        <v>-17622.902238060356</v>
      </c>
      <c r="I34" s="3">
        <f t="shared" si="9"/>
        <v>-16885.218983472198</v>
      </c>
      <c r="J34" s="3">
        <f t="shared" si="9"/>
        <v>-16059.013738333459</v>
      </c>
      <c r="K34" s="3">
        <f t="shared" si="9"/>
        <v>-15133.663863778071</v>
      </c>
      <c r="L34" s="3">
        <f t="shared" si="9"/>
        <v>-14097.272004276037</v>
      </c>
      <c r="M34" s="3">
        <f t="shared" si="9"/>
        <v>-12936.51312163376</v>
      </c>
      <c r="N34" s="3">
        <f t="shared" si="9"/>
        <v>-11636.463173074408</v>
      </c>
      <c r="O34" s="3">
        <f t="shared" si="9"/>
        <v>-10180.407230687935</v>
      </c>
      <c r="P34" s="3">
        <f t="shared" si="9"/>
        <v>-8549.6245752151008</v>
      </c>
      <c r="Q34" s="3">
        <f t="shared" si="9"/>
        <v>-8549.6245752151008</v>
      </c>
      <c r="R34" s="3">
        <f t="shared" si="9"/>
        <v>-8549.6245752151008</v>
      </c>
      <c r="S34" s="3">
        <f t="shared" si="9"/>
        <v>-8549.6245752151008</v>
      </c>
      <c r="T34" s="3">
        <f t="shared" si="9"/>
        <v>-8549.6245752151008</v>
      </c>
      <c r="U34" s="3">
        <f t="shared" si="9"/>
        <v>-8549.6245752151008</v>
      </c>
      <c r="V34" s="3">
        <f t="shared" si="9"/>
        <v>-8549.6245752151008</v>
      </c>
      <c r="W34" s="3">
        <f t="shared" si="9"/>
        <v>-8549.6245752151008</v>
      </c>
      <c r="X34" s="3">
        <f t="shared" si="9"/>
        <v>-8549.6245752151008</v>
      </c>
      <c r="Y34" s="3">
        <f t="shared" si="9"/>
        <v>-8549.6245752151008</v>
      </c>
    </row>
    <row r="35" spans="1:25" x14ac:dyDescent="0.25">
      <c r="A35" s="69"/>
      <c r="B35" s="69"/>
      <c r="C35" s="69"/>
      <c r="D35" s="69"/>
    </row>
    <row r="36" spans="1:25" x14ac:dyDescent="0.25">
      <c r="A36" s="68" t="s">
        <v>94</v>
      </c>
      <c r="B36" s="68"/>
      <c r="C36" s="68"/>
      <c r="D36" s="68"/>
      <c r="F36" s="3">
        <f t="shared" ref="F36:Y36" si="10">IF(F9&lt;&gt;"",IF(F34&gt;0,F34*VAT,0),"")</f>
        <v>0</v>
      </c>
      <c r="G36" s="3">
        <f t="shared" si="10"/>
        <v>0</v>
      </c>
      <c r="H36" s="3">
        <f t="shared" si="10"/>
        <v>0</v>
      </c>
      <c r="I36" s="3">
        <f t="shared" si="10"/>
        <v>0</v>
      </c>
      <c r="J36" s="3">
        <f t="shared" si="10"/>
        <v>0</v>
      </c>
      <c r="K36" s="3">
        <f t="shared" si="10"/>
        <v>0</v>
      </c>
      <c r="L36" s="3">
        <f t="shared" si="10"/>
        <v>0</v>
      </c>
      <c r="M36" s="3">
        <f t="shared" si="10"/>
        <v>0</v>
      </c>
      <c r="N36" s="3">
        <f t="shared" si="10"/>
        <v>0</v>
      </c>
      <c r="O36" s="3">
        <f t="shared" si="10"/>
        <v>0</v>
      </c>
      <c r="P36" s="3">
        <f t="shared" si="10"/>
        <v>0</v>
      </c>
      <c r="Q36" s="3">
        <f t="shared" si="10"/>
        <v>0</v>
      </c>
      <c r="R36" s="3">
        <f t="shared" si="10"/>
        <v>0</v>
      </c>
      <c r="S36" s="3">
        <f t="shared" si="10"/>
        <v>0</v>
      </c>
      <c r="T36" s="3">
        <f t="shared" si="10"/>
        <v>0</v>
      </c>
      <c r="U36" s="3">
        <f t="shared" si="10"/>
        <v>0</v>
      </c>
      <c r="V36" s="3">
        <f t="shared" si="10"/>
        <v>0</v>
      </c>
      <c r="W36" s="3">
        <f t="shared" si="10"/>
        <v>0</v>
      </c>
      <c r="X36" s="3">
        <f t="shared" si="10"/>
        <v>0</v>
      </c>
      <c r="Y36" s="3">
        <f t="shared" si="10"/>
        <v>0</v>
      </c>
    </row>
    <row r="37" spans="1:25" x14ac:dyDescent="0.25">
      <c r="A37" s="61" t="s">
        <v>95</v>
      </c>
      <c r="B37" s="61"/>
      <c r="C37" s="61"/>
      <c r="D37" s="61"/>
      <c r="E37" s="3"/>
      <c r="F37" s="3">
        <f t="shared" ref="F37:Y37" si="11">IF(F9&lt;&gt;"",F34-F36,"")</f>
        <v>-18869.62457521509</v>
      </c>
      <c r="G37" s="3">
        <f t="shared" si="11"/>
        <v>-18281.548001085495</v>
      </c>
      <c r="H37" s="3">
        <f t="shared" si="11"/>
        <v>-17622.902238060356</v>
      </c>
      <c r="I37" s="3">
        <f t="shared" si="11"/>
        <v>-16885.218983472198</v>
      </c>
      <c r="J37" s="3">
        <f t="shared" si="11"/>
        <v>-16059.013738333459</v>
      </c>
      <c r="K37" s="3">
        <f t="shared" si="11"/>
        <v>-15133.663863778071</v>
      </c>
      <c r="L37" s="3">
        <f t="shared" si="11"/>
        <v>-14097.272004276037</v>
      </c>
      <c r="M37" s="3">
        <f t="shared" si="11"/>
        <v>-12936.51312163376</v>
      </c>
      <c r="N37" s="3">
        <f t="shared" si="11"/>
        <v>-11636.463173074408</v>
      </c>
      <c r="O37" s="3">
        <f t="shared" si="11"/>
        <v>-10180.407230687935</v>
      </c>
      <c r="P37" s="3">
        <f t="shared" si="11"/>
        <v>-8549.6245752151008</v>
      </c>
      <c r="Q37" s="3">
        <f t="shared" si="11"/>
        <v>-8549.6245752151008</v>
      </c>
      <c r="R37" s="3">
        <f t="shared" si="11"/>
        <v>-8549.6245752151008</v>
      </c>
      <c r="S37" s="3">
        <f t="shared" si="11"/>
        <v>-8549.6245752151008</v>
      </c>
      <c r="T37" s="3">
        <f t="shared" si="11"/>
        <v>-8549.6245752151008</v>
      </c>
      <c r="U37" s="3">
        <f t="shared" si="11"/>
        <v>-8549.6245752151008</v>
      </c>
      <c r="V37" s="3">
        <f t="shared" si="11"/>
        <v>-8549.6245752151008</v>
      </c>
      <c r="W37" s="3">
        <f t="shared" si="11"/>
        <v>-8549.6245752151008</v>
      </c>
      <c r="X37" s="3">
        <f t="shared" si="11"/>
        <v>-8549.6245752151008</v>
      </c>
      <c r="Y37" s="3">
        <f t="shared" si="11"/>
        <v>-8549.6245752151008</v>
      </c>
    </row>
    <row r="39" spans="1:25" x14ac:dyDescent="0.25">
      <c r="A39" s="31" t="s">
        <v>149</v>
      </c>
      <c r="B39" s="31"/>
      <c r="C39" s="31"/>
      <c r="D39" s="31"/>
      <c r="E39" s="3">
        <f>+E33</f>
        <v>-466000</v>
      </c>
      <c r="F39" s="3">
        <f>+F37-F29+F25</f>
        <v>22829.737307038318</v>
      </c>
      <c r="G39" s="3">
        <f t="shared" ref="G39:Y39" si="12">+G37-G29+G25</f>
        <v>22829.737307038318</v>
      </c>
      <c r="H39" s="3">
        <f t="shared" si="12"/>
        <v>22829.737307038318</v>
      </c>
      <c r="I39" s="3">
        <f t="shared" si="12"/>
        <v>22829.737307038318</v>
      </c>
      <c r="J39" s="3">
        <f t="shared" si="12"/>
        <v>22829.737307038318</v>
      </c>
      <c r="K39" s="3">
        <f t="shared" si="12"/>
        <v>22829.737307038318</v>
      </c>
      <c r="L39" s="3">
        <f t="shared" si="12"/>
        <v>22829.737307038318</v>
      </c>
      <c r="M39" s="3">
        <f t="shared" si="12"/>
        <v>22829.737307038318</v>
      </c>
      <c r="N39" s="3">
        <f t="shared" si="12"/>
        <v>22829.737307038318</v>
      </c>
      <c r="O39" s="3">
        <f t="shared" si="12"/>
        <v>22829.737307038315</v>
      </c>
      <c r="P39" s="3">
        <f t="shared" si="12"/>
        <v>38050.375424784899</v>
      </c>
      <c r="Q39" s="3">
        <f t="shared" si="12"/>
        <v>38050.375424784899</v>
      </c>
      <c r="R39" s="3">
        <f t="shared" si="12"/>
        <v>38050.375424784899</v>
      </c>
      <c r="S39" s="3">
        <f t="shared" si="12"/>
        <v>38050.375424784899</v>
      </c>
      <c r="T39" s="3">
        <f t="shared" si="12"/>
        <v>38050.375424784899</v>
      </c>
      <c r="U39" s="3">
        <f t="shared" si="12"/>
        <v>38050.375424784899</v>
      </c>
      <c r="V39" s="3">
        <f t="shared" si="12"/>
        <v>38050.375424784899</v>
      </c>
      <c r="W39" s="3">
        <f t="shared" si="12"/>
        <v>38050.375424784899</v>
      </c>
      <c r="X39" s="3">
        <f t="shared" si="12"/>
        <v>38050.375424784899</v>
      </c>
      <c r="Y39" s="3">
        <f t="shared" si="12"/>
        <v>38050.375424784899</v>
      </c>
    </row>
    <row r="40" spans="1:25" x14ac:dyDescent="0.25">
      <c r="A40" s="31" t="s">
        <v>150</v>
      </c>
      <c r="B40" s="31"/>
      <c r="C40" s="31"/>
      <c r="D40" s="31"/>
      <c r="E40" s="3">
        <f>+E39</f>
        <v>-466000</v>
      </c>
      <c r="F40" s="3">
        <f>+E40+F39</f>
        <v>-443170.26269296167</v>
      </c>
      <c r="G40" s="3">
        <f t="shared" ref="G40:Y40" si="13">+F40+G39</f>
        <v>-420340.52538592333</v>
      </c>
      <c r="H40" s="3">
        <f t="shared" si="13"/>
        <v>-397510.788078885</v>
      </c>
      <c r="I40" s="3">
        <f t="shared" si="13"/>
        <v>-374681.05077184667</v>
      </c>
      <c r="J40" s="3">
        <f t="shared" si="13"/>
        <v>-351851.31346480834</v>
      </c>
      <c r="K40" s="3">
        <f t="shared" si="13"/>
        <v>-329021.57615777</v>
      </c>
      <c r="L40" s="3">
        <f t="shared" si="13"/>
        <v>-306191.83885073167</v>
      </c>
      <c r="M40" s="3">
        <f t="shared" si="13"/>
        <v>-283362.10154369334</v>
      </c>
      <c r="N40" s="3">
        <f t="shared" si="13"/>
        <v>-260532.364236655</v>
      </c>
      <c r="O40" s="3">
        <f t="shared" si="13"/>
        <v>-237702.6269296167</v>
      </c>
      <c r="P40" s="3">
        <f t="shared" si="13"/>
        <v>-199652.2515048318</v>
      </c>
      <c r="Q40" s="3">
        <f t="shared" si="13"/>
        <v>-161601.8760800469</v>
      </c>
      <c r="R40" s="3">
        <f t="shared" si="13"/>
        <v>-123551.500655262</v>
      </c>
      <c r="S40" s="3">
        <f t="shared" si="13"/>
        <v>-85501.125230477104</v>
      </c>
      <c r="T40" s="3">
        <f t="shared" si="13"/>
        <v>-47450.749805692205</v>
      </c>
      <c r="U40" s="3">
        <f t="shared" si="13"/>
        <v>-9400.3743809073057</v>
      </c>
      <c r="V40" s="3">
        <f t="shared" si="13"/>
        <v>28650.001043877593</v>
      </c>
      <c r="W40" s="3">
        <f t="shared" si="13"/>
        <v>66700.376468662493</v>
      </c>
      <c r="X40" s="3">
        <f t="shared" si="13"/>
        <v>104750.75189344739</v>
      </c>
      <c r="Y40" s="3">
        <f t="shared" si="13"/>
        <v>142801.12731823229</v>
      </c>
    </row>
    <row r="41" spans="1:25" x14ac:dyDescent="0.25">
      <c r="A41" s="18"/>
      <c r="B41" s="18"/>
      <c r="C41" s="18"/>
      <c r="D41" s="18"/>
    </row>
    <row r="42" spans="1:25" x14ac:dyDescent="0.25">
      <c r="A42" s="31" t="s">
        <v>63</v>
      </c>
      <c r="B42" s="31"/>
      <c r="C42" s="31"/>
      <c r="D42" s="31"/>
      <c r="E42" s="32">
        <f>+KamSptv</f>
        <v>2.715021459227468E-2</v>
      </c>
    </row>
    <row r="43" spans="1:25" x14ac:dyDescent="0.25">
      <c r="A43" s="31" t="s">
        <v>151</v>
      </c>
      <c r="B43" s="31"/>
      <c r="C43" s="31"/>
      <c r="D43" s="31"/>
      <c r="E43" s="3">
        <f t="shared" ref="E43:Y43" si="14">IF(E9&lt;&gt;"",E39*(1+$E$42)^-E9,"")</f>
        <v>-466000</v>
      </c>
      <c r="F43" s="3">
        <f t="shared" si="14"/>
        <v>22226.288796620211</v>
      </c>
      <c r="G43" s="3">
        <f t="shared" si="14"/>
        <v>21638.790978048808</v>
      </c>
      <c r="H43" s="3">
        <f t="shared" si="14"/>
        <v>21066.822233628493</v>
      </c>
      <c r="I43" s="3">
        <f t="shared" si="14"/>
        <v>20509.972090100699</v>
      </c>
      <c r="J43" s="3">
        <f t="shared" si="14"/>
        <v>19967.840924067852</v>
      </c>
      <c r="K43" s="3">
        <f t="shared" si="14"/>
        <v>19440.039675203741</v>
      </c>
      <c r="L43" s="3">
        <f t="shared" si="14"/>
        <v>18926.189567044414</v>
      </c>
      <c r="M43" s="3">
        <f t="shared" si="14"/>
        <v>18425.921835159363</v>
      </c>
      <c r="N43" s="3">
        <f t="shared" si="14"/>
        <v>17938.877462507753</v>
      </c>
      <c r="O43" s="3">
        <f t="shared" si="14"/>
        <v>17464.706921789973</v>
      </c>
      <c r="P43" s="3">
        <f t="shared" si="14"/>
        <v>28339.055561791181</v>
      </c>
      <c r="Q43" s="3">
        <f t="shared" si="14"/>
        <v>27589.98163967704</v>
      </c>
      <c r="R43" s="3">
        <f t="shared" si="14"/>
        <v>26860.707662538756</v>
      </c>
      <c r="S43" s="3">
        <f t="shared" si="14"/>
        <v>26150.710267048002</v>
      </c>
      <c r="T43" s="3">
        <f t="shared" si="14"/>
        <v>25459.479923711529</v>
      </c>
      <c r="U43" s="3">
        <f t="shared" si="14"/>
        <v>24786.52057120742</v>
      </c>
      <c r="V43" s="3">
        <f t="shared" si="14"/>
        <v>24131.349260386789</v>
      </c>
      <c r="W43" s="3">
        <f t="shared" si="14"/>
        <v>23493.495807685427</v>
      </c>
      <c r="X43" s="3">
        <f t="shared" si="14"/>
        <v>22872.502457696635</v>
      </c>
      <c r="Y43" s="3">
        <f t="shared" si="14"/>
        <v>22267.923554663164</v>
      </c>
    </row>
    <row r="44" spans="1:25" x14ac:dyDescent="0.25">
      <c r="A44" s="31" t="s">
        <v>152</v>
      </c>
      <c r="B44" s="31"/>
      <c r="C44" s="31"/>
      <c r="D44" s="31"/>
      <c r="E44" s="3">
        <f>+E43</f>
        <v>-466000</v>
      </c>
      <c r="F44" s="3">
        <f>+E44+F43</f>
        <v>-443773.71120337979</v>
      </c>
      <c r="G44" s="3">
        <f t="shared" ref="G44:X44" si="15">+F44+G43</f>
        <v>-422134.92022533098</v>
      </c>
      <c r="H44" s="3">
        <f t="shared" si="15"/>
        <v>-401068.0979917025</v>
      </c>
      <c r="I44" s="3">
        <f t="shared" si="15"/>
        <v>-380558.1259016018</v>
      </c>
      <c r="J44" s="3">
        <f t="shared" si="15"/>
        <v>-360590.28497753397</v>
      </c>
      <c r="K44" s="3">
        <f t="shared" si="15"/>
        <v>-341150.24530233024</v>
      </c>
      <c r="L44" s="3">
        <f t="shared" si="15"/>
        <v>-322224.0557352858</v>
      </c>
      <c r="M44" s="3">
        <f t="shared" si="15"/>
        <v>-303798.13390012644</v>
      </c>
      <c r="N44" s="3">
        <f t="shared" si="15"/>
        <v>-285859.25643761869</v>
      </c>
      <c r="O44" s="3">
        <f t="shared" si="15"/>
        <v>-268394.54951582872</v>
      </c>
      <c r="P44" s="3">
        <f t="shared" si="15"/>
        <v>-240055.49395403755</v>
      </c>
      <c r="Q44" s="3">
        <f t="shared" si="15"/>
        <v>-212465.5123143605</v>
      </c>
      <c r="R44" s="3">
        <f t="shared" si="15"/>
        <v>-185604.80465182173</v>
      </c>
      <c r="S44" s="3">
        <f t="shared" si="15"/>
        <v>-159454.09438477372</v>
      </c>
      <c r="T44" s="3">
        <f t="shared" si="15"/>
        <v>-133994.61446106219</v>
      </c>
      <c r="U44" s="3">
        <f t="shared" si="15"/>
        <v>-109208.09388985476</v>
      </c>
      <c r="V44" s="3">
        <f t="shared" si="15"/>
        <v>-85076.744629467968</v>
      </c>
      <c r="W44" s="3">
        <f t="shared" si="15"/>
        <v>-61583.248821782545</v>
      </c>
      <c r="X44" s="3">
        <f t="shared" si="15"/>
        <v>-38710.746364085906</v>
      </c>
      <c r="Y44" s="3">
        <f>+X44+Y43</f>
        <v>-16442.822809422742</v>
      </c>
    </row>
    <row r="45" spans="1:25" x14ac:dyDescent="0.25">
      <c r="A45" s="31"/>
      <c r="B45" s="31"/>
      <c r="C45" s="31"/>
      <c r="D45" s="31"/>
    </row>
    <row r="46" spans="1:25" x14ac:dyDescent="0.25">
      <c r="A46" s="33" t="s">
        <v>153</v>
      </c>
      <c r="B46" s="33"/>
      <c r="C46" s="33"/>
      <c r="D46" s="33"/>
      <c r="E46" s="34">
        <f>+NPV(E42,E39:Y39)</f>
        <v>-16008.196830246372</v>
      </c>
      <c r="F46" s="35"/>
      <c r="H46" s="3"/>
    </row>
    <row r="47" spans="1:25" x14ac:dyDescent="0.25">
      <c r="A47" s="33" t="s">
        <v>154</v>
      </c>
      <c r="B47" s="33"/>
      <c r="C47" s="33"/>
      <c r="D47" s="33"/>
      <c r="E47" s="57">
        <f>+IRR(E39:Y39,10)</f>
        <v>2.378225997727923E-2</v>
      </c>
      <c r="F47" s="35"/>
    </row>
    <row r="48" spans="1:25" x14ac:dyDescent="0.25">
      <c r="A48" s="33" t="s">
        <v>155</v>
      </c>
      <c r="B48" s="33"/>
      <c r="C48" s="33"/>
      <c r="D48" s="33"/>
      <c r="E48" s="46">
        <f>+NPV(KamSptv,F21:Y21)/-NPV(KamSptv,E33:Y33)</f>
        <v>1.0089101328627874</v>
      </c>
      <c r="F48" s="35"/>
    </row>
    <row r="49" spans="1:26" x14ac:dyDescent="0.25">
      <c r="A49" s="33" t="s">
        <v>156</v>
      </c>
      <c r="B49" s="33"/>
      <c r="C49" s="33"/>
      <c r="D49" s="33"/>
      <c r="E49" s="36" cm="1">
        <f t="array" ref="E49">+LOOKUP(INDEX(E40:Y40,MATCH(TRUE,E40:Y40&gt;0,0)),E40:Y40,E9:Y9)</f>
        <v>17</v>
      </c>
      <c r="F49" s="35" t="s">
        <v>160</v>
      </c>
    </row>
    <row r="50" spans="1:26" x14ac:dyDescent="0.25">
      <c r="A50" s="33" t="s">
        <v>157</v>
      </c>
      <c r="B50" s="33"/>
      <c r="C50" s="33"/>
      <c r="D50" s="33"/>
      <c r="E50" s="36" t="e" cm="1">
        <f t="array" ref="E50">+LOOKUP(INDEX(E44:Y44,MATCH(TRUE,E44:Y44&gt;0,0)),E44:Y44,E9:Y9)</f>
        <v>#N/A</v>
      </c>
      <c r="F50" s="35" t="s">
        <v>160</v>
      </c>
    </row>
    <row r="51" spans="1:26" x14ac:dyDescent="0.25">
      <c r="A51" s="31"/>
      <c r="B51" s="31"/>
      <c r="C51" s="31"/>
      <c r="D51" s="31"/>
    </row>
    <row r="52" spans="1:26" x14ac:dyDescent="0.25">
      <c r="A52" s="68" t="s">
        <v>163</v>
      </c>
      <c r="B52" s="68"/>
      <c r="C52" s="68"/>
      <c r="D52" s="68"/>
      <c r="E52" s="3">
        <f>+E44</f>
        <v>-466000</v>
      </c>
      <c r="F52" s="3">
        <f>IF(F9&lt;&gt;"",F33,"")</f>
        <v>-36703.543921694189</v>
      </c>
      <c r="G52" s="3">
        <f t="shared" ref="G52:Y52" si="16">IF(G9&lt;&gt;"",G33,"")</f>
        <v>-36703.543921694189</v>
      </c>
      <c r="H52" s="3">
        <f t="shared" si="16"/>
        <v>-36703.543921694189</v>
      </c>
      <c r="I52" s="3">
        <f t="shared" si="16"/>
        <v>-36703.543921694189</v>
      </c>
      <c r="J52" s="3">
        <f t="shared" si="16"/>
        <v>-36703.543921694189</v>
      </c>
      <c r="K52" s="3">
        <f t="shared" si="16"/>
        <v>-36703.543921694189</v>
      </c>
      <c r="L52" s="3">
        <f t="shared" si="16"/>
        <v>-36703.543921694189</v>
      </c>
      <c r="M52" s="3">
        <f t="shared" si="16"/>
        <v>-36703.543921694189</v>
      </c>
      <c r="N52" s="3">
        <f t="shared" si="16"/>
        <v>-36703.543921694189</v>
      </c>
      <c r="O52" s="3">
        <f t="shared" si="16"/>
        <v>-36703.543921694189</v>
      </c>
      <c r="P52" s="3">
        <f t="shared" si="16"/>
        <v>-21482.905803947608</v>
      </c>
      <c r="Q52" s="3">
        <f t="shared" si="16"/>
        <v>-21482.905803947608</v>
      </c>
      <c r="R52" s="3">
        <f t="shared" si="16"/>
        <v>-21482.905803947608</v>
      </c>
      <c r="S52" s="3">
        <f t="shared" si="16"/>
        <v>-21482.905803947608</v>
      </c>
      <c r="T52" s="3">
        <f t="shared" si="16"/>
        <v>-21482.905803947608</v>
      </c>
      <c r="U52" s="3">
        <f t="shared" si="16"/>
        <v>-21482.905803947608</v>
      </c>
      <c r="V52" s="3">
        <f t="shared" si="16"/>
        <v>-21482.905803947608</v>
      </c>
      <c r="W52" s="3">
        <f t="shared" si="16"/>
        <v>-21482.905803947608</v>
      </c>
      <c r="X52" s="3">
        <f t="shared" si="16"/>
        <v>-21482.905803947608</v>
      </c>
      <c r="Y52" s="3">
        <f t="shared" si="16"/>
        <v>-21482.905803947608</v>
      </c>
      <c r="Z52" s="3"/>
    </row>
    <row r="53" spans="1:26" x14ac:dyDescent="0.25">
      <c r="A53" s="68" t="s">
        <v>164</v>
      </c>
      <c r="B53" s="68"/>
      <c r="C53" s="68"/>
      <c r="D53" s="68"/>
      <c r="F53" s="3">
        <f t="shared" ref="F53:Y53" si="17">IF(F9&lt;&gt;"",F52*(1+KamSptv)^-F9,"")</f>
        <v>-35733.375119104261</v>
      </c>
      <c r="G53" s="3">
        <f t="shared" si="17"/>
        <v>-34788.850366242252</v>
      </c>
      <c r="H53" s="3">
        <f t="shared" si="17"/>
        <v>-33869.291825102351</v>
      </c>
      <c r="I53" s="3">
        <f t="shared" si="17"/>
        <v>-32974.039574675749</v>
      </c>
      <c r="J53" s="3">
        <f t="shared" si="17"/>
        <v>-32102.451137358461</v>
      </c>
      <c r="K53" s="3">
        <f t="shared" si="17"/>
        <v>-31253.901017877379</v>
      </c>
      <c r="L53" s="3">
        <f t="shared" si="17"/>
        <v>-30427.780254403737</v>
      </c>
      <c r="M53" s="3">
        <f t="shared" si="17"/>
        <v>-29623.495981531771</v>
      </c>
      <c r="N53" s="3">
        <f t="shared" si="17"/>
        <v>-28840.471004808929</v>
      </c>
      <c r="O53" s="3">
        <f t="shared" si="17"/>
        <v>-28078.143386512467</v>
      </c>
      <c r="P53" s="3">
        <f t="shared" si="17"/>
        <v>-15999.98040519305</v>
      </c>
      <c r="Q53" s="3">
        <f t="shared" si="17"/>
        <v>-15577.059886556335</v>
      </c>
      <c r="R53" s="3">
        <f t="shared" si="17"/>
        <v>-15165.318241927855</v>
      </c>
      <c r="S53" s="3">
        <f t="shared" si="17"/>
        <v>-14764.459984996158</v>
      </c>
      <c r="T53" s="3">
        <f t="shared" si="17"/>
        <v>-14374.197439910855</v>
      </c>
      <c r="U53" s="3">
        <f t="shared" si="17"/>
        <v>-13994.25053483211</v>
      </c>
      <c r="V53" s="3">
        <f t="shared" si="17"/>
        <v>-13624.346600937139</v>
      </c>
      <c r="W53" s="3">
        <f t="shared" si="17"/>
        <v>-13264.220176739484</v>
      </c>
      <c r="X53" s="3">
        <f t="shared" si="17"/>
        <v>-12913.612817580623</v>
      </c>
      <c r="Y53" s="3">
        <f t="shared" si="17"/>
        <v>-12572.272910157211</v>
      </c>
      <c r="Z53" s="3"/>
    </row>
    <row r="54" spans="1:26" x14ac:dyDescent="0.25">
      <c r="A54" s="68" t="s">
        <v>165</v>
      </c>
      <c r="B54" s="68"/>
      <c r="C54" s="68"/>
      <c r="D54" s="68"/>
      <c r="E54" s="3">
        <f>+E44</f>
        <v>-466000</v>
      </c>
      <c r="F54" s="13">
        <f t="shared" ref="F54:Y54" si="18">IF(F9&lt;&gt;"",E54+F53,"")</f>
        <v>-501733.37511910428</v>
      </c>
      <c r="G54" s="13">
        <f t="shared" si="18"/>
        <v>-536522.22548534651</v>
      </c>
      <c r="H54" s="13">
        <f t="shared" si="18"/>
        <v>-570391.51731044892</v>
      </c>
      <c r="I54" s="13">
        <f t="shared" si="18"/>
        <v>-603365.55688512465</v>
      </c>
      <c r="J54" s="13">
        <f t="shared" si="18"/>
        <v>-635468.00802248309</v>
      </c>
      <c r="K54" s="13">
        <f t="shared" si="18"/>
        <v>-666721.90904036048</v>
      </c>
      <c r="L54" s="13">
        <f t="shared" si="18"/>
        <v>-697149.68929476419</v>
      </c>
      <c r="M54" s="13">
        <f t="shared" si="18"/>
        <v>-726773.18527629599</v>
      </c>
      <c r="N54" s="13">
        <f t="shared" si="18"/>
        <v>-755613.65628110489</v>
      </c>
      <c r="O54" s="13">
        <f t="shared" si="18"/>
        <v>-783691.79966761731</v>
      </c>
      <c r="P54" s="13">
        <f t="shared" si="18"/>
        <v>-799691.78007281036</v>
      </c>
      <c r="Q54" s="13">
        <f t="shared" si="18"/>
        <v>-815268.83995936671</v>
      </c>
      <c r="R54" s="13">
        <f t="shared" si="18"/>
        <v>-830434.1582012946</v>
      </c>
      <c r="S54" s="13">
        <f t="shared" si="18"/>
        <v>-845198.61818629073</v>
      </c>
      <c r="T54" s="13">
        <f t="shared" si="18"/>
        <v>-859572.81562620157</v>
      </c>
      <c r="U54" s="13">
        <f t="shared" si="18"/>
        <v>-873567.0661610337</v>
      </c>
      <c r="V54" s="13">
        <f t="shared" si="18"/>
        <v>-887191.41276197089</v>
      </c>
      <c r="W54" s="13">
        <f t="shared" si="18"/>
        <v>-900455.63293871039</v>
      </c>
      <c r="X54" s="13">
        <f t="shared" si="18"/>
        <v>-913369.24575629097</v>
      </c>
      <c r="Y54" s="13">
        <f t="shared" si="18"/>
        <v>-925941.51866644819</v>
      </c>
    </row>
    <row r="55" spans="1:26" x14ac:dyDescent="0.25">
      <c r="A55" s="68" t="s">
        <v>169</v>
      </c>
      <c r="B55" s="68"/>
      <c r="C55" s="68"/>
      <c r="D55" s="68"/>
      <c r="F55" s="3">
        <f t="shared" ref="F55:Y55" si="19">IF(F9&lt;&gt;"",F21,"")</f>
        <v>59533.281228732507</v>
      </c>
      <c r="G55" s="3">
        <f t="shared" si="19"/>
        <v>59533.281228732507</v>
      </c>
      <c r="H55" s="3">
        <f t="shared" si="19"/>
        <v>59533.281228732507</v>
      </c>
      <c r="I55" s="3">
        <f t="shared" si="19"/>
        <v>59533.281228732507</v>
      </c>
      <c r="J55" s="3">
        <f t="shared" si="19"/>
        <v>59533.281228732507</v>
      </c>
      <c r="K55" s="3">
        <f t="shared" si="19"/>
        <v>59533.281228732507</v>
      </c>
      <c r="L55" s="3">
        <f t="shared" si="19"/>
        <v>59533.281228732507</v>
      </c>
      <c r="M55" s="3">
        <f t="shared" si="19"/>
        <v>59533.281228732507</v>
      </c>
      <c r="N55" s="3">
        <f t="shared" si="19"/>
        <v>59533.281228732507</v>
      </c>
      <c r="O55" s="3">
        <f t="shared" si="19"/>
        <v>59533.281228732507</v>
      </c>
      <c r="P55" s="3">
        <f t="shared" si="19"/>
        <v>59533.281228732507</v>
      </c>
      <c r="Q55" s="3">
        <f t="shared" si="19"/>
        <v>59533.281228732507</v>
      </c>
      <c r="R55" s="3">
        <f t="shared" si="19"/>
        <v>59533.281228732507</v>
      </c>
      <c r="S55" s="3">
        <f t="shared" si="19"/>
        <v>59533.281228732507</v>
      </c>
      <c r="T55" s="3">
        <f t="shared" si="19"/>
        <v>59533.281228732507</v>
      </c>
      <c r="U55" s="3">
        <f t="shared" si="19"/>
        <v>59533.281228732507</v>
      </c>
      <c r="V55" s="3">
        <f t="shared" si="19"/>
        <v>59533.281228732507</v>
      </c>
      <c r="W55" s="3">
        <f t="shared" si="19"/>
        <v>59533.281228732507</v>
      </c>
      <c r="X55" s="3">
        <f t="shared" si="19"/>
        <v>59533.281228732507</v>
      </c>
      <c r="Y55" s="3">
        <f t="shared" si="19"/>
        <v>59533.281228732507</v>
      </c>
    </row>
    <row r="56" spans="1:26" x14ac:dyDescent="0.25">
      <c r="A56" s="68" t="s">
        <v>161</v>
      </c>
      <c r="B56" s="68"/>
      <c r="C56" s="68"/>
      <c r="D56" s="68"/>
      <c r="F56" s="3">
        <f t="shared" ref="F56:Y56" si="20">IF(F9&lt;&gt;"",F55*(1+KamSptv)^-F9,"")</f>
        <v>57959.663915724472</v>
      </c>
      <c r="G56" s="3">
        <f t="shared" si="20"/>
        <v>56427.641344291063</v>
      </c>
      <c r="H56" s="3">
        <f t="shared" si="20"/>
        <v>54936.11405873084</v>
      </c>
      <c r="I56" s="3">
        <f t="shared" si="20"/>
        <v>53484.011664776452</v>
      </c>
      <c r="J56" s="3">
        <f t="shared" si="20"/>
        <v>52070.292061426313</v>
      </c>
      <c r="K56" s="3">
        <f t="shared" si="20"/>
        <v>50693.940693081116</v>
      </c>
      <c r="L56" s="3">
        <f t="shared" si="20"/>
        <v>49353.969821448154</v>
      </c>
      <c r="M56" s="3">
        <f t="shared" si="20"/>
        <v>48049.41781669113</v>
      </c>
      <c r="N56" s="3">
        <f t="shared" si="20"/>
        <v>46779.348467316682</v>
      </c>
      <c r="O56" s="3">
        <f t="shared" si="20"/>
        <v>45542.850308302441</v>
      </c>
      <c r="P56" s="3">
        <f t="shared" si="20"/>
        <v>44339.035966984229</v>
      </c>
      <c r="Q56" s="3">
        <f t="shared" si="20"/>
        <v>43167.041526233377</v>
      </c>
      <c r="R56" s="3">
        <f t="shared" si="20"/>
        <v>42026.025904466609</v>
      </c>
      <c r="S56" s="3">
        <f t="shared" si="20"/>
        <v>40915.170252044161</v>
      </c>
      <c r="T56" s="3">
        <f t="shared" si="20"/>
        <v>39833.677363622381</v>
      </c>
      <c r="U56" s="3">
        <f t="shared" si="20"/>
        <v>38780.77110603953</v>
      </c>
      <c r="V56" s="3">
        <f t="shared" si="20"/>
        <v>37755.695861323933</v>
      </c>
      <c r="W56" s="3">
        <f t="shared" si="20"/>
        <v>36757.715984424911</v>
      </c>
      <c r="X56" s="3">
        <f t="shared" si="20"/>
        <v>35786.115275277261</v>
      </c>
      <c r="Y56" s="3">
        <f t="shared" si="20"/>
        <v>34840.196464820372</v>
      </c>
    </row>
    <row r="57" spans="1:26" x14ac:dyDescent="0.25">
      <c r="A57" s="68" t="s">
        <v>162</v>
      </c>
      <c r="B57" s="68"/>
      <c r="C57" s="68"/>
      <c r="D57" s="68"/>
      <c r="F57" s="3">
        <f>+F56</f>
        <v>57959.663915724472</v>
      </c>
      <c r="G57" s="3">
        <f t="shared" ref="G57:Y57" si="21">IF(G9&lt;&gt;"",F57+G56,"")</f>
        <v>114387.30526001554</v>
      </c>
      <c r="H57" s="3">
        <f t="shared" si="21"/>
        <v>169323.41931874637</v>
      </c>
      <c r="I57" s="3">
        <f t="shared" si="21"/>
        <v>222807.43098352282</v>
      </c>
      <c r="J57" s="3">
        <f t="shared" si="21"/>
        <v>274877.72304494912</v>
      </c>
      <c r="K57" s="3">
        <f t="shared" si="21"/>
        <v>325571.66373803024</v>
      </c>
      <c r="L57" s="3">
        <f t="shared" si="21"/>
        <v>374925.63355947839</v>
      </c>
      <c r="M57" s="3">
        <f t="shared" si="21"/>
        <v>422975.05137616955</v>
      </c>
      <c r="N57" s="3">
        <f t="shared" si="21"/>
        <v>469754.39984348626</v>
      </c>
      <c r="O57" s="3">
        <f t="shared" si="21"/>
        <v>515297.2501517887</v>
      </c>
      <c r="P57" s="3">
        <f t="shared" si="21"/>
        <v>559636.28611877293</v>
      </c>
      <c r="Q57" s="3">
        <f t="shared" si="21"/>
        <v>602803.32764500636</v>
      </c>
      <c r="R57" s="3">
        <f t="shared" si="21"/>
        <v>644829.35354947299</v>
      </c>
      <c r="S57" s="3">
        <f t="shared" si="21"/>
        <v>685744.52380151721</v>
      </c>
      <c r="T57" s="3">
        <f t="shared" si="21"/>
        <v>725578.20116513956</v>
      </c>
      <c r="U57" s="3">
        <f t="shared" si="21"/>
        <v>764358.97227117908</v>
      </c>
      <c r="V57" s="3">
        <f t="shared" si="21"/>
        <v>802114.66813250305</v>
      </c>
      <c r="W57" s="3">
        <f t="shared" si="21"/>
        <v>838872.38411692798</v>
      </c>
      <c r="X57" s="3">
        <f t="shared" si="21"/>
        <v>874658.49939220527</v>
      </c>
      <c r="Y57" s="3">
        <f t="shared" si="21"/>
        <v>909498.69585702568</v>
      </c>
    </row>
    <row r="58" spans="1:26" x14ac:dyDescent="0.25">
      <c r="A58" s="68" t="s">
        <v>158</v>
      </c>
      <c r="B58" s="68"/>
      <c r="C58" s="68"/>
      <c r="D58" s="68"/>
      <c r="E58" s="3">
        <f t="shared" ref="E58:Y58" si="22">IF(E9&lt;&gt;"",E57+E54,"")</f>
        <v>-466000</v>
      </c>
      <c r="F58" s="3">
        <f t="shared" si="22"/>
        <v>-443773.71120337979</v>
      </c>
      <c r="G58" s="3">
        <f t="shared" si="22"/>
        <v>-422134.92022533098</v>
      </c>
      <c r="H58" s="3">
        <f t="shared" si="22"/>
        <v>-401068.09799170255</v>
      </c>
      <c r="I58" s="3">
        <f t="shared" si="22"/>
        <v>-380558.12590160186</v>
      </c>
      <c r="J58" s="3">
        <f t="shared" si="22"/>
        <v>-360590.28497753397</v>
      </c>
      <c r="K58" s="3">
        <f t="shared" si="22"/>
        <v>-341150.24530233024</v>
      </c>
      <c r="L58" s="3">
        <f t="shared" si="22"/>
        <v>-322224.0557352858</v>
      </c>
      <c r="M58" s="3">
        <f t="shared" si="22"/>
        <v>-303798.13390012644</v>
      </c>
      <c r="N58" s="3">
        <f t="shared" si="22"/>
        <v>-285859.25643761863</v>
      </c>
      <c r="O58" s="3">
        <f t="shared" si="22"/>
        <v>-268394.54951582861</v>
      </c>
      <c r="P58" s="3">
        <f t="shared" si="22"/>
        <v>-240055.49395403743</v>
      </c>
      <c r="Q58" s="3">
        <f t="shared" si="22"/>
        <v>-212465.51231436036</v>
      </c>
      <c r="R58" s="3">
        <f t="shared" si="22"/>
        <v>-185604.80465182161</v>
      </c>
      <c r="S58" s="3">
        <f t="shared" si="22"/>
        <v>-159454.09438477352</v>
      </c>
      <c r="T58" s="3">
        <f t="shared" si="22"/>
        <v>-133994.61446106201</v>
      </c>
      <c r="U58" s="3">
        <f t="shared" si="22"/>
        <v>-109208.09388985462</v>
      </c>
      <c r="V58" s="3">
        <f t="shared" si="22"/>
        <v>-85076.744629467838</v>
      </c>
      <c r="W58" s="3">
        <f t="shared" si="22"/>
        <v>-61583.248821782414</v>
      </c>
      <c r="X58" s="3">
        <f t="shared" si="22"/>
        <v>-38710.746364085702</v>
      </c>
      <c r="Y58" s="3">
        <f t="shared" si="22"/>
        <v>-16442.822809422505</v>
      </c>
    </row>
    <row r="59" spans="1:26" x14ac:dyDescent="0.25">
      <c r="A59" s="37" t="s">
        <v>159</v>
      </c>
      <c r="B59" s="37"/>
      <c r="C59" s="37"/>
      <c r="D59" s="37"/>
      <c r="E59" s="35"/>
      <c r="F59" s="46">
        <f>-F52/HEAT</f>
        <v>53.716695822641071</v>
      </c>
    </row>
    <row r="60" spans="1:26" x14ac:dyDescent="0.25">
      <c r="A60" s="22"/>
      <c r="B60" s="22"/>
      <c r="C60" s="22"/>
      <c r="D60" s="22"/>
    </row>
    <row r="61" spans="1:26" x14ac:dyDescent="0.25">
      <c r="A61" s="68" t="s">
        <v>96</v>
      </c>
      <c r="B61" s="68"/>
      <c r="C61" s="68"/>
      <c r="D61" s="68"/>
      <c r="E61" s="3">
        <f>-E52</f>
        <v>466000</v>
      </c>
      <c r="F61" s="3">
        <f t="shared" ref="F61:Y61" si="23">IF(F9="",E61,-F54)</f>
        <v>501733.37511910428</v>
      </c>
      <c r="G61" s="3">
        <f t="shared" si="23"/>
        <v>536522.22548534651</v>
      </c>
      <c r="H61" s="3">
        <f t="shared" si="23"/>
        <v>570391.51731044892</v>
      </c>
      <c r="I61" s="3">
        <f t="shared" si="23"/>
        <v>603365.55688512465</v>
      </c>
      <c r="J61" s="3">
        <f t="shared" si="23"/>
        <v>635468.00802248309</v>
      </c>
      <c r="K61" s="3">
        <f t="shared" si="23"/>
        <v>666721.90904036048</v>
      </c>
      <c r="L61" s="3">
        <f t="shared" si="23"/>
        <v>697149.68929476419</v>
      </c>
      <c r="M61" s="13">
        <f t="shared" si="23"/>
        <v>726773.18527629599</v>
      </c>
      <c r="N61" s="3">
        <f t="shared" si="23"/>
        <v>755613.65628110489</v>
      </c>
      <c r="O61" s="13">
        <f t="shared" si="23"/>
        <v>783691.79966761731</v>
      </c>
      <c r="P61" s="3">
        <f t="shared" si="23"/>
        <v>799691.78007281036</v>
      </c>
      <c r="Q61" s="13">
        <f t="shared" si="23"/>
        <v>815268.83995936671</v>
      </c>
      <c r="R61" s="3">
        <f t="shared" si="23"/>
        <v>830434.1582012946</v>
      </c>
      <c r="S61" s="3">
        <f t="shared" si="23"/>
        <v>845198.61818629073</v>
      </c>
      <c r="T61" s="3">
        <f t="shared" si="23"/>
        <v>859572.81562620157</v>
      </c>
      <c r="U61" s="3">
        <f t="shared" si="23"/>
        <v>873567.0661610337</v>
      </c>
      <c r="V61" s="3">
        <f t="shared" si="23"/>
        <v>887191.41276197089</v>
      </c>
      <c r="W61" s="3">
        <f t="shared" si="23"/>
        <v>900455.63293871039</v>
      </c>
      <c r="X61" s="3">
        <f t="shared" si="23"/>
        <v>913369.24575629097</v>
      </c>
      <c r="Y61" s="3">
        <f t="shared" si="23"/>
        <v>925941.51866644819</v>
      </c>
    </row>
    <row r="62" spans="1:26" x14ac:dyDescent="0.25">
      <c r="A62" s="68" t="s">
        <v>97</v>
      </c>
      <c r="B62" s="68"/>
      <c r="C62" s="68"/>
      <c r="D62" s="68"/>
      <c r="F62" s="3">
        <f t="shared" ref="F62:Y62" si="24">IF(F9="",E62,F57)</f>
        <v>57959.663915724472</v>
      </c>
      <c r="G62" s="3">
        <f t="shared" si="24"/>
        <v>114387.30526001554</v>
      </c>
      <c r="H62" s="3">
        <f t="shared" si="24"/>
        <v>169323.41931874637</v>
      </c>
      <c r="I62" s="3">
        <f t="shared" si="24"/>
        <v>222807.43098352282</v>
      </c>
      <c r="J62" s="3">
        <f t="shared" si="24"/>
        <v>274877.72304494912</v>
      </c>
      <c r="K62" s="3">
        <f t="shared" si="24"/>
        <v>325571.66373803024</v>
      </c>
      <c r="L62" s="3">
        <f t="shared" si="24"/>
        <v>374925.63355947839</v>
      </c>
      <c r="M62" s="3">
        <f t="shared" si="24"/>
        <v>422975.05137616955</v>
      </c>
      <c r="N62" s="3">
        <f t="shared" si="24"/>
        <v>469754.39984348626</v>
      </c>
      <c r="O62" s="3">
        <f t="shared" si="24"/>
        <v>515297.2501517887</v>
      </c>
      <c r="P62" s="3">
        <f t="shared" si="24"/>
        <v>559636.28611877293</v>
      </c>
      <c r="Q62" s="3">
        <f t="shared" si="24"/>
        <v>602803.32764500636</v>
      </c>
      <c r="R62" s="3">
        <f t="shared" si="24"/>
        <v>644829.35354947299</v>
      </c>
      <c r="S62" s="3">
        <f t="shared" si="24"/>
        <v>685744.52380151721</v>
      </c>
      <c r="T62" s="3">
        <f t="shared" si="24"/>
        <v>725578.20116513956</v>
      </c>
      <c r="U62" s="3">
        <f t="shared" si="24"/>
        <v>764358.97227117908</v>
      </c>
      <c r="V62" s="3">
        <f t="shared" si="24"/>
        <v>802114.66813250305</v>
      </c>
      <c r="W62" s="3">
        <f t="shared" si="24"/>
        <v>838872.38411692798</v>
      </c>
      <c r="X62" s="3">
        <f t="shared" si="24"/>
        <v>874658.49939220527</v>
      </c>
      <c r="Y62" s="3">
        <f t="shared" si="24"/>
        <v>909498.69585702568</v>
      </c>
    </row>
  </sheetData>
  <sheetProtection selectLockedCells="1"/>
  <mergeCells count="37">
    <mergeCell ref="F3:I3"/>
    <mergeCell ref="I7:J7"/>
    <mergeCell ref="N7:O7"/>
    <mergeCell ref="A14:D14"/>
    <mergeCell ref="A7:D7"/>
    <mergeCell ref="A9:D9"/>
    <mergeCell ref="A11:D11"/>
    <mergeCell ref="A12:D12"/>
    <mergeCell ref="A13:D13"/>
    <mergeCell ref="A61:D61"/>
    <mergeCell ref="A62:D62"/>
    <mergeCell ref="A37:D37"/>
    <mergeCell ref="A52:D52"/>
    <mergeCell ref="A53:D53"/>
    <mergeCell ref="A54:D54"/>
    <mergeCell ref="A55:D55"/>
    <mergeCell ref="A56:D56"/>
    <mergeCell ref="A57:D57"/>
    <mergeCell ref="A58:D58"/>
    <mergeCell ref="A18:D18"/>
    <mergeCell ref="A15:D15"/>
    <mergeCell ref="A16:D16"/>
    <mergeCell ref="A28:D28"/>
    <mergeCell ref="A29:D29"/>
    <mergeCell ref="A27:D27"/>
    <mergeCell ref="A36:D36"/>
    <mergeCell ref="A19:D19"/>
    <mergeCell ref="A21:D21"/>
    <mergeCell ref="A22:D22"/>
    <mergeCell ref="A24:D24"/>
    <mergeCell ref="A26:D26"/>
    <mergeCell ref="A23:D23"/>
    <mergeCell ref="A20:D20"/>
    <mergeCell ref="A35:D35"/>
    <mergeCell ref="A30:D30"/>
    <mergeCell ref="A31:D31"/>
    <mergeCell ref="A34:D34"/>
  </mergeCells>
  <dataValidations count="2">
    <dataValidation allowBlank="1" showInputMessage="1" showErrorMessage="1" promptTitle="BrutoDobit" prompt="Bruto dobit prema Bilansu uspeha, ne obuhvata otplatu glavice." sqref="A34:D34"/>
    <dataValidation allowBlank="1" showInputMessage="1" showErrorMessage="1" promptTitle="CashFlow" prompt="Ne obuhvata amortizaciju, ali obuhvata otplatu glavnice." sqref="A39:D39"/>
  </dataValidations>
  <hyperlinks>
    <hyperlink ref="I7:J7" location="FinaIndikatori!I1" display="NAZAD"/>
    <hyperlink ref="N7:O7" location="Graf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12"/>
  <sheetViews>
    <sheetView workbookViewId="0">
      <selection activeCell="R24" sqref="R24"/>
    </sheetView>
  </sheetViews>
  <sheetFormatPr defaultRowHeight="15" x14ac:dyDescent="0.25"/>
  <sheetData>
    <row r="3" spans="1:9" ht="16.5" x14ac:dyDescent="0.35">
      <c r="F3" s="58" t="s">
        <v>176</v>
      </c>
      <c r="G3" s="58"/>
      <c r="H3" s="58"/>
      <c r="I3" s="58"/>
    </row>
    <row r="7" spans="1:9" ht="15" customHeight="1" x14ac:dyDescent="0.25">
      <c r="A7" s="60" t="s">
        <v>105</v>
      </c>
      <c r="B7" s="60"/>
      <c r="C7" s="60"/>
      <c r="D7" s="60"/>
    </row>
    <row r="8" spans="1:9" ht="15" customHeight="1" x14ac:dyDescent="0.25">
      <c r="A8" s="60"/>
      <c r="B8" s="60"/>
      <c r="C8" s="60"/>
      <c r="D8" s="60"/>
    </row>
    <row r="9" spans="1:9" x14ac:dyDescent="0.25">
      <c r="A9" s="60"/>
      <c r="B9" s="60"/>
      <c r="C9" s="60"/>
      <c r="D9" s="60"/>
    </row>
    <row r="11" spans="1:9" x14ac:dyDescent="0.25">
      <c r="A11" s="62" t="s">
        <v>128</v>
      </c>
      <c r="B11" s="62"/>
      <c r="C11" s="63" t="s">
        <v>129</v>
      </c>
      <c r="D11" s="63"/>
    </row>
    <row r="12" spans="1:9" x14ac:dyDescent="0.25">
      <c r="A12" s="62"/>
      <c r="B12" s="62"/>
      <c r="C12" s="63"/>
      <c r="D12" s="63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konIndikatori!I1" display="NAZAD"/>
    <hyperlink ref="C11:D12" location="GrafEk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18</vt:i4>
      </vt:variant>
    </vt:vector>
  </HeadingPairs>
  <TitlesOfParts>
    <vt:vector size="33" baseType="lpstr">
      <vt:lpstr>Pocetna</vt:lpstr>
      <vt:lpstr>KonvFaktor</vt:lpstr>
      <vt:lpstr>PomTab1</vt:lpstr>
      <vt:lpstr>UnosPodataka</vt:lpstr>
      <vt:lpstr>TrosakEnergije</vt:lpstr>
      <vt:lpstr>Anuiteti</vt:lpstr>
      <vt:lpstr>FinaIndicators</vt:lpstr>
      <vt:lpstr>FinInd+CO2</vt:lpstr>
      <vt:lpstr>GrafFina</vt:lpstr>
      <vt:lpstr>LCoEE</vt:lpstr>
      <vt:lpstr>Osetljivost</vt:lpstr>
      <vt:lpstr>AkoESCO</vt:lpstr>
      <vt:lpstr>ESCOGrafFina</vt:lpstr>
      <vt:lpstr>REZIME</vt:lpstr>
      <vt:lpstr>Gorivo</vt:lpstr>
      <vt:lpstr>AREA</vt:lpstr>
      <vt:lpstr>CARBON</vt:lpstr>
      <vt:lpstr>CERT</vt:lpstr>
      <vt:lpstr>CO2Tax</vt:lpstr>
      <vt:lpstr>EENERGIJA</vt:lpstr>
      <vt:lpstr>EPOW</vt:lpstr>
      <vt:lpstr>EPrice</vt:lpstr>
      <vt:lpstr>Equity</vt:lpstr>
      <vt:lpstr>eta</vt:lpstr>
      <vt:lpstr>etagrid</vt:lpstr>
      <vt:lpstr>HEAT</vt:lpstr>
      <vt:lpstr>HPrice</vt:lpstr>
      <vt:lpstr>Investment</vt:lpstr>
      <vt:lpstr>KamSptv</vt:lpstr>
      <vt:lpstr>LCoE</vt:lpstr>
      <vt:lpstr>Loan</vt:lpstr>
      <vt:lpstr>PROJEKAT</vt:lpstr>
      <vt:lpstr>WHOUR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2023-07-21T07:35:32Z</dcterms:modified>
</cp:coreProperties>
</file>