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3" activeTab="14"/>
  </bookViews>
  <sheets>
    <sheet name="Pocetna" sheetId="1" r:id="rId1"/>
    <sheet name="PomTab1" sheetId="4" r:id="rId2"/>
    <sheet name="KonvFaktor" sheetId="17" r:id="rId3"/>
    <sheet name="UnosPodataka" sheetId="2" r:id="rId4"/>
    <sheet name="Ustede" sheetId="5" r:id="rId5"/>
    <sheet name="Anuiteti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externalReferences>
    <externalReference r:id="rId17"/>
    <externalReference r:id="rId18"/>
  </externalReferences>
  <definedNames>
    <definedName name="CARBON">UnosPodataka!$M$13</definedName>
    <definedName name="CirkP">Ustede!$F$17</definedName>
    <definedName name="EFAKTOR">UnosPodataka!$M$25</definedName>
    <definedName name="ElEn">Ustede!$F$10</definedName>
    <definedName name="Equity">UnosPodataka!$F$28</definedName>
    <definedName name="etagrid">Ustede!$F$18</definedName>
    <definedName name="FIRR">FinaIndicators!#REF!</definedName>
    <definedName name="FNPV">FinaIndicators!#REF!</definedName>
    <definedName name="Gorivo">UnosPodataka!$M$24</definedName>
    <definedName name="InfRate" comment="Inflacija">0</definedName>
    <definedName name="Investment">UnosPodataka!$F$21</definedName>
    <definedName name="Kurs_EUR" comment="Obračunski kurs EUR na dan 11. IV 2023.">117.489</definedName>
    <definedName name="Kurs_USD" comment="Obračunski kurs USD na dan 19-5-2022">111.5072</definedName>
    <definedName name="LCOEE">LCoEE!$E$19</definedName>
    <definedName name="LOAN">UnosPodataka!$F$31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7" l="1"/>
  <c r="C18" i="17" l="1"/>
  <c r="E17" i="17"/>
  <c r="D17" i="17"/>
  <c r="E16" i="17"/>
  <c r="D16" i="17"/>
  <c r="E15" i="17"/>
  <c r="D15" i="17"/>
  <c r="E14" i="17"/>
  <c r="D14" i="17"/>
  <c r="E13" i="17"/>
  <c r="D13" i="17"/>
  <c r="E12" i="17"/>
  <c r="E18" i="17" l="1"/>
  <c r="E21" i="17" s="1"/>
  <c r="H24" i="9"/>
  <c r="I24" i="9"/>
  <c r="J24" i="9"/>
  <c r="K24" i="9"/>
  <c r="L24" i="9"/>
  <c r="M24" i="9"/>
  <c r="N24" i="9"/>
  <c r="O24" i="9"/>
  <c r="P24" i="9"/>
  <c r="Q24" i="9"/>
  <c r="R24" i="9"/>
  <c r="S24" i="9"/>
  <c r="T24" i="9"/>
  <c r="U24" i="9"/>
  <c r="V24" i="9"/>
  <c r="W24" i="9"/>
  <c r="X24" i="9"/>
  <c r="Y24" i="9"/>
  <c r="G24" i="9"/>
  <c r="F24" i="9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G23" i="7"/>
  <c r="F23" i="7"/>
  <c r="F15" i="5"/>
  <c r="J9" i="5"/>
  <c r="J10" i="5"/>
  <c r="F21" i="2"/>
  <c r="J33" i="2"/>
  <c r="M13" i="2"/>
  <c r="O13" i="2"/>
  <c r="P39" i="4" l="1"/>
  <c r="F23" i="5"/>
  <c r="F28" i="9"/>
  <c r="F27" i="7" l="1"/>
  <c r="E12" i="16"/>
  <c r="E9" i="16"/>
  <c r="F10" i="14"/>
  <c r="G10" i="14" s="1"/>
  <c r="H10" i="14" s="1"/>
  <c r="I10" i="14" l="1"/>
  <c r="J10" i="14" l="1"/>
  <c r="K10" i="14" l="1"/>
  <c r="L10" i="14" l="1"/>
  <c r="M10" i="14" l="1"/>
  <c r="N10" i="14" l="1"/>
  <c r="O10" i="14" l="1"/>
  <c r="P10" i="14" l="1"/>
  <c r="Q10" i="14" l="1"/>
  <c r="R10" i="14" l="1"/>
  <c r="S10" i="14" l="1"/>
  <c r="T10" i="14" l="1"/>
  <c r="U10" i="14" l="1"/>
  <c r="V10" i="14" l="1"/>
  <c r="W10" i="14" l="1"/>
  <c r="X10" i="14" l="1"/>
  <c r="Y10" i="14" l="1"/>
  <c r="M25" i="2" l="1"/>
  <c r="F27" i="9" l="1"/>
  <c r="F26" i="7"/>
  <c r="F24" i="5"/>
  <c r="F14" i="5"/>
  <c r="F20" i="5" s="1"/>
  <c r="F21" i="5" l="1"/>
  <c r="F15" i="9" s="1"/>
  <c r="F22" i="5" l="1"/>
  <c r="F15" i="7"/>
  <c r="F10" i="12"/>
  <c r="G9" i="9"/>
  <c r="E12" i="9"/>
  <c r="G9" i="7"/>
  <c r="E12" i="7"/>
  <c r="G28" i="9" l="1"/>
  <c r="G27" i="7"/>
  <c r="G13" i="2"/>
  <c r="G17" i="2"/>
  <c r="G21" i="2"/>
  <c r="G14" i="2"/>
  <c r="G18" i="2"/>
  <c r="G23" i="2"/>
  <c r="G9" i="2"/>
  <c r="G11" i="2"/>
  <c r="G19" i="2"/>
  <c r="G12" i="2"/>
  <c r="G20" i="2"/>
  <c r="G10" i="2"/>
  <c r="G15" i="2"/>
  <c r="G28" i="2"/>
  <c r="G16" i="2"/>
  <c r="E10" i="16"/>
  <c r="F12" i="12"/>
  <c r="G26" i="7"/>
  <c r="G27" i="9"/>
  <c r="G15" i="9"/>
  <c r="G15" i="7"/>
  <c r="F25" i="7"/>
  <c r="F26" i="9"/>
  <c r="G10" i="12"/>
  <c r="G25" i="7"/>
  <c r="H9" i="9"/>
  <c r="G18" i="9"/>
  <c r="G29" i="9" s="1"/>
  <c r="G26" i="9"/>
  <c r="F18" i="7"/>
  <c r="F14" i="9"/>
  <c r="F19" i="9" s="1"/>
  <c r="F18" i="9"/>
  <c r="F29" i="9" s="1"/>
  <c r="F14" i="7"/>
  <c r="F16" i="12" s="1"/>
  <c r="G14" i="9"/>
  <c r="H9" i="7"/>
  <c r="G14" i="7"/>
  <c r="G18" i="7"/>
  <c r="G16" i="12" l="1"/>
  <c r="H28" i="9"/>
  <c r="H27" i="7"/>
  <c r="H18" i="9"/>
  <c r="H29" i="9" s="1"/>
  <c r="H27" i="9"/>
  <c r="H15" i="9"/>
  <c r="H14" i="9"/>
  <c r="H26" i="9"/>
  <c r="H26" i="7"/>
  <c r="H15" i="7"/>
  <c r="H10" i="12"/>
  <c r="I9" i="9"/>
  <c r="I9" i="7"/>
  <c r="H25" i="7"/>
  <c r="H18" i="7"/>
  <c r="H14" i="7"/>
  <c r="H16" i="12" l="1"/>
  <c r="I28" i="9"/>
  <c r="I27" i="7"/>
  <c r="I27" i="9"/>
  <c r="I15" i="9"/>
  <c r="I26" i="7"/>
  <c r="I15" i="7"/>
  <c r="J9" i="9"/>
  <c r="I26" i="9"/>
  <c r="I18" i="9"/>
  <c r="I29" i="9" s="1"/>
  <c r="I14" i="9"/>
  <c r="I10" i="12"/>
  <c r="J9" i="7"/>
  <c r="I18" i="7"/>
  <c r="I14" i="7"/>
  <c r="I25" i="7"/>
  <c r="J28" i="9" l="1"/>
  <c r="J27" i="7"/>
  <c r="I16" i="12"/>
  <c r="J27" i="9"/>
  <c r="J15" i="9"/>
  <c r="J26" i="7"/>
  <c r="J15" i="7"/>
  <c r="J10" i="12"/>
  <c r="K9" i="9"/>
  <c r="J26" i="9"/>
  <c r="J14" i="9"/>
  <c r="J18" i="9"/>
  <c r="J29" i="9" s="1"/>
  <c r="K9" i="7"/>
  <c r="J25" i="7"/>
  <c r="J18" i="7"/>
  <c r="J14" i="7"/>
  <c r="J16" i="12" l="1"/>
  <c r="K28" i="9"/>
  <c r="K27" i="7"/>
  <c r="K27" i="9"/>
  <c r="K15" i="9"/>
  <c r="K26" i="7"/>
  <c r="K15" i="7"/>
  <c r="L9" i="9"/>
  <c r="K26" i="9"/>
  <c r="K18" i="9"/>
  <c r="K29" i="9" s="1"/>
  <c r="K14" i="9"/>
  <c r="K10" i="12"/>
  <c r="L9" i="7"/>
  <c r="K25" i="7"/>
  <c r="K18" i="7"/>
  <c r="K14" i="7"/>
  <c r="K16" i="12" l="1"/>
  <c r="L28" i="9"/>
  <c r="L27" i="7"/>
  <c r="L27" i="9"/>
  <c r="L15" i="9"/>
  <c r="L26" i="7"/>
  <c r="L15" i="7"/>
  <c r="M9" i="9"/>
  <c r="L14" i="9"/>
  <c r="L26" i="9"/>
  <c r="L18" i="9"/>
  <c r="L29" i="9" s="1"/>
  <c r="L10" i="12"/>
  <c r="M9" i="7"/>
  <c r="L25" i="7"/>
  <c r="L18" i="7"/>
  <c r="L14" i="7"/>
  <c r="M28" i="9" l="1"/>
  <c r="M27" i="7"/>
  <c r="L16" i="12"/>
  <c r="M27" i="9"/>
  <c r="M15" i="9"/>
  <c r="M26" i="7"/>
  <c r="M15" i="7"/>
  <c r="M10" i="12"/>
  <c r="N9" i="9"/>
  <c r="M26" i="9"/>
  <c r="M18" i="9"/>
  <c r="M29" i="9" s="1"/>
  <c r="M14" i="9"/>
  <c r="N9" i="7"/>
  <c r="M25" i="7"/>
  <c r="M18" i="7"/>
  <c r="M14" i="7"/>
  <c r="M16" i="12" l="1"/>
  <c r="N28" i="9"/>
  <c r="N27" i="7"/>
  <c r="N27" i="9"/>
  <c r="N15" i="9"/>
  <c r="N26" i="7"/>
  <c r="N15" i="7"/>
  <c r="O9" i="9"/>
  <c r="N26" i="9"/>
  <c r="N14" i="9"/>
  <c r="N18" i="9"/>
  <c r="N29" i="9" s="1"/>
  <c r="N10" i="12"/>
  <c r="O9" i="7"/>
  <c r="N25" i="7"/>
  <c r="N18" i="7"/>
  <c r="N14" i="7"/>
  <c r="N16" i="12" l="1"/>
  <c r="O28" i="9"/>
  <c r="O27" i="7"/>
  <c r="O27" i="9"/>
  <c r="O15" i="9"/>
  <c r="O26" i="7"/>
  <c r="O15" i="7"/>
  <c r="O10" i="12"/>
  <c r="P9" i="9"/>
  <c r="O26" i="9"/>
  <c r="O18" i="9"/>
  <c r="O29" i="9" s="1"/>
  <c r="O14" i="9"/>
  <c r="P9" i="7"/>
  <c r="O25" i="7"/>
  <c r="O18" i="7"/>
  <c r="O14" i="7"/>
  <c r="O16" i="12" l="1"/>
  <c r="P28" i="9"/>
  <c r="P27" i="7"/>
  <c r="P27" i="9"/>
  <c r="P15" i="9"/>
  <c r="P26" i="7"/>
  <c r="P15" i="7"/>
  <c r="P10" i="12"/>
  <c r="Q9" i="9"/>
  <c r="P14" i="9"/>
  <c r="P23" i="9"/>
  <c r="P18" i="9"/>
  <c r="P29" i="9" s="1"/>
  <c r="P26" i="9"/>
  <c r="Q9" i="7"/>
  <c r="P25" i="7"/>
  <c r="P22" i="7"/>
  <c r="P18" i="7"/>
  <c r="P14" i="7"/>
  <c r="P16" i="12" l="1"/>
  <c r="Q28" i="9"/>
  <c r="Q27" i="7"/>
  <c r="Q27" i="9"/>
  <c r="Q15" i="9"/>
  <c r="Q26" i="7"/>
  <c r="Q15" i="7"/>
  <c r="R9" i="9"/>
  <c r="Q23" i="9"/>
  <c r="Q14" i="9"/>
  <c r="Q26" i="9"/>
  <c r="Q18" i="9"/>
  <c r="Q29" i="9" s="1"/>
  <c r="Q10" i="12"/>
  <c r="R9" i="7"/>
  <c r="Q25" i="7"/>
  <c r="Q18" i="7"/>
  <c r="Q14" i="7"/>
  <c r="Q22" i="7"/>
  <c r="Q16" i="12" l="1"/>
  <c r="R28" i="9"/>
  <c r="R27" i="7"/>
  <c r="R27" i="9"/>
  <c r="R15" i="9"/>
  <c r="R26" i="7"/>
  <c r="R15" i="7"/>
  <c r="S9" i="9"/>
  <c r="R26" i="9"/>
  <c r="R18" i="9"/>
  <c r="R29" i="9" s="1"/>
  <c r="R14" i="9"/>
  <c r="R23" i="9"/>
  <c r="R10" i="12"/>
  <c r="S9" i="7"/>
  <c r="R25" i="7"/>
  <c r="R18" i="7"/>
  <c r="R14" i="7"/>
  <c r="R22" i="7"/>
  <c r="R16" i="12" l="1"/>
  <c r="S28" i="9"/>
  <c r="S27" i="7"/>
  <c r="S27" i="9"/>
  <c r="S15" i="9"/>
  <c r="S26" i="7"/>
  <c r="S15" i="7"/>
  <c r="S10" i="12"/>
  <c r="T9" i="9"/>
  <c r="S14" i="9"/>
  <c r="S23" i="9"/>
  <c r="S26" i="9"/>
  <c r="S18" i="9"/>
  <c r="S29" i="9" s="1"/>
  <c r="T9" i="7"/>
  <c r="S25" i="7"/>
  <c r="S22" i="7"/>
  <c r="S18" i="7"/>
  <c r="S14" i="7"/>
  <c r="T28" i="9" l="1"/>
  <c r="T27" i="7"/>
  <c r="S16" i="12"/>
  <c r="T27" i="9"/>
  <c r="T15" i="9"/>
  <c r="T26" i="7"/>
  <c r="T15" i="7"/>
  <c r="U9" i="9"/>
  <c r="T18" i="9"/>
  <c r="T29" i="9" s="1"/>
  <c r="T26" i="9"/>
  <c r="T23" i="9"/>
  <c r="T14" i="9"/>
  <c r="T10" i="12"/>
  <c r="U9" i="7"/>
  <c r="T25" i="7"/>
  <c r="T22" i="7"/>
  <c r="T18" i="7"/>
  <c r="T14" i="7"/>
  <c r="T16" i="12" l="1"/>
  <c r="U28" i="9"/>
  <c r="U27" i="7"/>
  <c r="U27" i="9"/>
  <c r="U15" i="9"/>
  <c r="U26" i="7"/>
  <c r="U15" i="7"/>
  <c r="U10" i="12"/>
  <c r="V9" i="9"/>
  <c r="U23" i="9"/>
  <c r="U14" i="9"/>
  <c r="U26" i="9"/>
  <c r="U18" i="9"/>
  <c r="U29" i="9" s="1"/>
  <c r="V9" i="7"/>
  <c r="U22" i="7"/>
  <c r="U25" i="7"/>
  <c r="U18" i="7"/>
  <c r="U14" i="7"/>
  <c r="U16" i="12" l="1"/>
  <c r="V28" i="9"/>
  <c r="V27" i="7"/>
  <c r="V27" i="9"/>
  <c r="V15" i="9"/>
  <c r="V26" i="7"/>
  <c r="V15" i="7"/>
  <c r="W9" i="9"/>
  <c r="V26" i="9"/>
  <c r="V23" i="9"/>
  <c r="V14" i="9"/>
  <c r="V18" i="9"/>
  <c r="V29" i="9" s="1"/>
  <c r="V10" i="12"/>
  <c r="W9" i="7"/>
  <c r="V25" i="7"/>
  <c r="V18" i="7"/>
  <c r="V14" i="7"/>
  <c r="V22" i="7"/>
  <c r="V16" i="12" l="1"/>
  <c r="W28" i="9"/>
  <c r="W27" i="7"/>
  <c r="W27" i="9"/>
  <c r="W15" i="9"/>
  <c r="W26" i="7"/>
  <c r="W15" i="7"/>
  <c r="X9" i="9"/>
  <c r="W14" i="9"/>
  <c r="W18" i="9"/>
  <c r="W29" i="9" s="1"/>
  <c r="W23" i="9"/>
  <c r="W26" i="9"/>
  <c r="W10" i="12"/>
  <c r="X9" i="7"/>
  <c r="W25" i="7"/>
  <c r="W22" i="7"/>
  <c r="W18" i="7"/>
  <c r="W14" i="7"/>
  <c r="X28" i="9" l="1"/>
  <c r="X27" i="7"/>
  <c r="W16" i="12"/>
  <c r="X27" i="9"/>
  <c r="X15" i="9"/>
  <c r="X26" i="7"/>
  <c r="X15" i="7"/>
  <c r="X10" i="12"/>
  <c r="Y9" i="9"/>
  <c r="X26" i="9"/>
  <c r="X18" i="9"/>
  <c r="X29" i="9" s="1"/>
  <c r="X23" i="9"/>
  <c r="X14" i="9"/>
  <c r="Y9" i="7"/>
  <c r="X25" i="7"/>
  <c r="X22" i="7"/>
  <c r="X18" i="7"/>
  <c r="X14" i="7"/>
  <c r="Y28" i="9" l="1"/>
  <c r="Y27" i="7"/>
  <c r="X16" i="12"/>
  <c r="Y27" i="9"/>
  <c r="Y15" i="9"/>
  <c r="Y26" i="7"/>
  <c r="Y15" i="7"/>
  <c r="Y10" i="12"/>
  <c r="Y23" i="9"/>
  <c r="Y26" i="9"/>
  <c r="Y18" i="9"/>
  <c r="Y29" i="9" s="1"/>
  <c r="Y14" i="9"/>
  <c r="Y18" i="7"/>
  <c r="Y14" i="7"/>
  <c r="Y25" i="7"/>
  <c r="Y22" i="7"/>
  <c r="Y16" i="12" l="1"/>
  <c r="F25" i="9"/>
  <c r="G25" i="9" l="1"/>
  <c r="H25" i="9" l="1"/>
  <c r="I25" i="9"/>
  <c r="J25" i="9" l="1"/>
  <c r="K25" i="9" l="1"/>
  <c r="L25" i="9" l="1"/>
  <c r="M25" i="9" l="1"/>
  <c r="N25" i="9" l="1"/>
  <c r="O25" i="9" l="1"/>
  <c r="P25" i="9" l="1"/>
  <c r="P30" i="9" s="1"/>
  <c r="Q25" i="9" l="1"/>
  <c r="Q30" i="9" s="1"/>
  <c r="R25" i="9" l="1"/>
  <c r="R30" i="9" s="1"/>
  <c r="S25" i="9" l="1"/>
  <c r="S30" i="9" s="1"/>
  <c r="T25" i="9" l="1"/>
  <c r="T30" i="9" s="1"/>
  <c r="U25" i="9" l="1"/>
  <c r="U30" i="9" s="1"/>
  <c r="V25" i="9" l="1"/>
  <c r="V30" i="9" s="1"/>
  <c r="W25" i="9" l="1"/>
  <c r="W30" i="9" s="1"/>
  <c r="X25" i="9" l="1"/>
  <c r="X30" i="9" s="1"/>
  <c r="Y25" i="9" l="1"/>
  <c r="Y30" i="9" s="1"/>
  <c r="F24" i="7" l="1"/>
  <c r="B14" i="6"/>
  <c r="B15" i="6" l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4" i="7"/>
  <c r="H24" i="7" l="1"/>
  <c r="I24" i="7" l="1"/>
  <c r="J24" i="7" l="1"/>
  <c r="K24" i="7" l="1"/>
  <c r="L24" i="7" l="1"/>
  <c r="M24" i="7" l="1"/>
  <c r="N24" i="7" l="1"/>
  <c r="O24" i="7" l="1"/>
  <c r="P24" i="7" l="1"/>
  <c r="Q24" i="7" l="1"/>
  <c r="J19" i="9" l="1"/>
  <c r="J20" i="9" s="1"/>
  <c r="N19" i="9"/>
  <c r="N20" i="9" s="1"/>
  <c r="R19" i="9"/>
  <c r="R20" i="9" s="1"/>
  <c r="V19" i="9"/>
  <c r="V20" i="9" s="1"/>
  <c r="M19" i="9"/>
  <c r="G19" i="9"/>
  <c r="G20" i="9" s="1"/>
  <c r="K19" i="9"/>
  <c r="K20" i="9" s="1"/>
  <c r="O19" i="9"/>
  <c r="O20" i="9" s="1"/>
  <c r="S19" i="9"/>
  <c r="S20" i="9" s="1"/>
  <c r="W19" i="9"/>
  <c r="W20" i="9" s="1"/>
  <c r="I19" i="9"/>
  <c r="I20" i="9" s="1"/>
  <c r="U19" i="9"/>
  <c r="U20" i="9" s="1"/>
  <c r="H19" i="9"/>
  <c r="H20" i="9" s="1"/>
  <c r="L19" i="9"/>
  <c r="L20" i="9" s="1"/>
  <c r="P19" i="9"/>
  <c r="P20" i="9" s="1"/>
  <c r="T19" i="9"/>
  <c r="T20" i="9" s="1"/>
  <c r="X19" i="9"/>
  <c r="X20" i="9" s="1"/>
  <c r="Q19" i="9"/>
  <c r="Q20" i="9" s="1"/>
  <c r="Y19" i="9"/>
  <c r="Y20" i="9" s="1"/>
  <c r="F20" i="9"/>
  <c r="M20" i="9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R19" i="7"/>
  <c r="R24" i="7"/>
  <c r="O19" i="7"/>
  <c r="J19" i="7"/>
  <c r="K19" i="7"/>
  <c r="G19" i="7"/>
  <c r="G53" i="7" s="1"/>
  <c r="G54" i="7" s="1"/>
  <c r="Q19" i="7"/>
  <c r="P19" i="7"/>
  <c r="F19" i="7"/>
  <c r="F53" i="7" s="1"/>
  <c r="M19" i="7"/>
  <c r="L19" i="7"/>
  <c r="N19" i="7"/>
  <c r="I19" i="7"/>
  <c r="I53" i="7" s="1"/>
  <c r="I54" i="7" s="1"/>
  <c r="H19" i="7"/>
  <c r="H53" i="7" s="1"/>
  <c r="H54" i="7" s="1"/>
  <c r="F29" i="2"/>
  <c r="G29" i="2" s="1"/>
  <c r="B25" i="4"/>
  <c r="X54" i="9" l="1"/>
  <c r="X55" i="9" s="1"/>
  <c r="X33" i="9"/>
  <c r="P54" i="9"/>
  <c r="P55" i="9" s="1"/>
  <c r="P33" i="9"/>
  <c r="K54" i="9"/>
  <c r="K55" i="9" s="1"/>
  <c r="T54" i="9"/>
  <c r="T55" i="9" s="1"/>
  <c r="T33" i="9"/>
  <c r="L54" i="9"/>
  <c r="L55" i="9" s="1"/>
  <c r="G54" i="9"/>
  <c r="G55" i="9" s="1"/>
  <c r="M54" i="9"/>
  <c r="M55" i="9" s="1"/>
  <c r="H54" i="9"/>
  <c r="H55" i="9" s="1"/>
  <c r="S54" i="9"/>
  <c r="S55" i="9" s="1"/>
  <c r="S33" i="9"/>
  <c r="N54" i="9"/>
  <c r="N55" i="9" s="1"/>
  <c r="Y54" i="9"/>
  <c r="Y55" i="9" s="1"/>
  <c r="Y33" i="9"/>
  <c r="I54" i="9"/>
  <c r="I55" i="9" s="1"/>
  <c r="V54" i="9"/>
  <c r="V55" i="9" s="1"/>
  <c r="V33" i="9"/>
  <c r="O54" i="9"/>
  <c r="O55" i="9" s="1"/>
  <c r="Q54" i="9"/>
  <c r="Q55" i="9" s="1"/>
  <c r="Q33" i="9"/>
  <c r="W54" i="9"/>
  <c r="W55" i="9" s="1"/>
  <c r="W33" i="9"/>
  <c r="R54" i="9"/>
  <c r="R55" i="9" s="1"/>
  <c r="R33" i="9"/>
  <c r="F54" i="9"/>
  <c r="U54" i="9"/>
  <c r="U55" i="9" s="1"/>
  <c r="U33" i="9"/>
  <c r="J54" i="9"/>
  <c r="J55" i="9" s="1"/>
  <c r="R28" i="7"/>
  <c r="R12" i="14" s="1"/>
  <c r="R13" i="14" s="1"/>
  <c r="Q53" i="7"/>
  <c r="Q54" i="7" s="1"/>
  <c r="Q28" i="7"/>
  <c r="H28" i="7"/>
  <c r="H12" i="14" s="1"/>
  <c r="H13" i="14" s="1"/>
  <c r="G28" i="7"/>
  <c r="G12" i="14" s="1"/>
  <c r="G13" i="14" s="1"/>
  <c r="I28" i="7"/>
  <c r="I12" i="14" s="1"/>
  <c r="I13" i="14" s="1"/>
  <c r="F28" i="7"/>
  <c r="F12" i="14" s="1"/>
  <c r="K53" i="7"/>
  <c r="K54" i="7" s="1"/>
  <c r="K28" i="7"/>
  <c r="K12" i="14" s="1"/>
  <c r="K13" i="14" s="1"/>
  <c r="L53" i="7"/>
  <c r="L54" i="7" s="1"/>
  <c r="L28" i="7"/>
  <c r="L12" i="14" s="1"/>
  <c r="L13" i="14" s="1"/>
  <c r="O53" i="7"/>
  <c r="O54" i="7" s="1"/>
  <c r="O28" i="7"/>
  <c r="O12" i="14" s="1"/>
  <c r="O13" i="14" s="1"/>
  <c r="M53" i="7"/>
  <c r="M54" i="7" s="1"/>
  <c r="M28" i="7"/>
  <c r="M12" i="14" s="1"/>
  <c r="M13" i="14" s="1"/>
  <c r="N53" i="7"/>
  <c r="N54" i="7" s="1"/>
  <c r="N28" i="7"/>
  <c r="N12" i="14" s="1"/>
  <c r="N13" i="14" s="1"/>
  <c r="P53" i="7"/>
  <c r="P54" i="7" s="1"/>
  <c r="P28" i="7"/>
  <c r="J53" i="7"/>
  <c r="J54" i="7" s="1"/>
  <c r="J28" i="7"/>
  <c r="J12" i="14" s="1"/>
  <c r="J13" i="14" s="1"/>
  <c r="R53" i="7"/>
  <c r="R54" i="7" s="1"/>
  <c r="S24" i="7"/>
  <c r="F31" i="2"/>
  <c r="G31" i="2" l="1"/>
  <c r="J23" i="4"/>
  <c r="J25" i="4" s="1"/>
  <c r="K25" i="4" s="1"/>
  <c r="V35" i="9"/>
  <c r="V32" i="9" s="1"/>
  <c r="V51" i="9" s="1"/>
  <c r="V52" i="9" s="1"/>
  <c r="T35" i="9"/>
  <c r="T32" i="9" s="1"/>
  <c r="T51" i="9" s="1"/>
  <c r="T52" i="9" s="1"/>
  <c r="R35" i="9"/>
  <c r="R32" i="9" s="1"/>
  <c r="R51" i="9" s="1"/>
  <c r="R52" i="9" s="1"/>
  <c r="Q35" i="9"/>
  <c r="Q32" i="9" s="1"/>
  <c r="Q51" i="9" s="1"/>
  <c r="Q52" i="9" s="1"/>
  <c r="X35" i="9"/>
  <c r="X32" i="9" s="1"/>
  <c r="X51" i="9" s="1"/>
  <c r="X52" i="9" s="1"/>
  <c r="W35" i="9"/>
  <c r="W32" i="9" s="1"/>
  <c r="W51" i="9" s="1"/>
  <c r="W52" i="9" s="1"/>
  <c r="Y35" i="9"/>
  <c r="Y32" i="9" s="1"/>
  <c r="Y51" i="9" s="1"/>
  <c r="Y52" i="9" s="1"/>
  <c r="P35" i="9"/>
  <c r="P32" i="9" s="1"/>
  <c r="P51" i="9" s="1"/>
  <c r="P52" i="9" s="1"/>
  <c r="U35" i="9"/>
  <c r="U32" i="9" s="1"/>
  <c r="U51" i="9" s="1"/>
  <c r="U52" i="9" s="1"/>
  <c r="S35" i="9"/>
  <c r="S32" i="9" s="1"/>
  <c r="S51" i="9" s="1"/>
  <c r="S52" i="9" s="1"/>
  <c r="R29" i="7"/>
  <c r="F13" i="14"/>
  <c r="Q12" i="14"/>
  <c r="Q13" i="14" s="1"/>
  <c r="Q29" i="7"/>
  <c r="P12" i="14"/>
  <c r="P13" i="14" s="1"/>
  <c r="P29" i="7"/>
  <c r="E13" i="16"/>
  <c r="E11" i="16"/>
  <c r="E9" i="6"/>
  <c r="E11" i="7"/>
  <c r="E11" i="9"/>
  <c r="E32" i="9" s="1"/>
  <c r="E51" i="9" s="1"/>
  <c r="E52" i="9" s="1"/>
  <c r="E53" i="9" s="1"/>
  <c r="S19" i="7"/>
  <c r="T19" i="7"/>
  <c r="T24" i="7"/>
  <c r="E41" i="9" l="1"/>
  <c r="F55" i="9" s="1"/>
  <c r="F56" i="9" s="1"/>
  <c r="G56" i="9" s="1"/>
  <c r="G61" i="9" s="1"/>
  <c r="E40" i="7"/>
  <c r="F54" i="7" s="1"/>
  <c r="F55" i="7" s="1"/>
  <c r="E31" i="7"/>
  <c r="E50" i="7" s="1"/>
  <c r="E51" i="7" s="1"/>
  <c r="E52" i="7"/>
  <c r="E59" i="7"/>
  <c r="E38" i="9"/>
  <c r="S36" i="9"/>
  <c r="S38" i="9"/>
  <c r="U36" i="9"/>
  <c r="U38" i="9"/>
  <c r="X36" i="9"/>
  <c r="X38" i="9"/>
  <c r="T36" i="9"/>
  <c r="T38" i="9"/>
  <c r="Y36" i="9"/>
  <c r="Y38" i="9"/>
  <c r="R36" i="9"/>
  <c r="R38" i="9"/>
  <c r="W36" i="9"/>
  <c r="W38" i="9"/>
  <c r="P36" i="9"/>
  <c r="P38" i="9"/>
  <c r="Q36" i="9"/>
  <c r="Q38" i="9"/>
  <c r="V36" i="9"/>
  <c r="V38" i="9"/>
  <c r="S28" i="7"/>
  <c r="S12" i="14" s="1"/>
  <c r="S13" i="14" s="1"/>
  <c r="Q32" i="7"/>
  <c r="P32" i="7"/>
  <c r="T28" i="7"/>
  <c r="T12" i="14" s="1"/>
  <c r="T13" i="14" s="1"/>
  <c r="R32" i="7"/>
  <c r="T53" i="7"/>
  <c r="T54" i="7" s="1"/>
  <c r="S53" i="7"/>
  <c r="S54" i="7" s="1"/>
  <c r="U24" i="7"/>
  <c r="Q42" i="9" l="1"/>
  <c r="Y42" i="9"/>
  <c r="S42" i="9"/>
  <c r="W42" i="9"/>
  <c r="X42" i="9"/>
  <c r="V42" i="9"/>
  <c r="P42" i="9"/>
  <c r="R42" i="9"/>
  <c r="T42" i="9"/>
  <c r="U42" i="9"/>
  <c r="F61" i="9"/>
  <c r="F60" i="7"/>
  <c r="G55" i="7"/>
  <c r="E37" i="7"/>
  <c r="E38" i="7" s="1"/>
  <c r="H56" i="9"/>
  <c r="H61" i="9" s="1"/>
  <c r="S29" i="7"/>
  <c r="E42" i="9"/>
  <c r="E43" i="9" s="1"/>
  <c r="E39" i="9"/>
  <c r="T29" i="7"/>
  <c r="Q34" i="7"/>
  <c r="Q31" i="7" s="1"/>
  <c r="Q37" i="7" s="1"/>
  <c r="Q41" i="7" s="1"/>
  <c r="R34" i="7"/>
  <c r="R31" i="7" s="1"/>
  <c r="R37" i="7" s="1"/>
  <c r="R41" i="7" s="1"/>
  <c r="P34" i="7"/>
  <c r="P31" i="7" s="1"/>
  <c r="P37" i="7" s="1"/>
  <c r="P41" i="7" s="1"/>
  <c r="U19" i="7"/>
  <c r="E16" i="6"/>
  <c r="V19" i="7"/>
  <c r="V24" i="7"/>
  <c r="G60" i="7" l="1"/>
  <c r="H55" i="7"/>
  <c r="E41" i="7"/>
  <c r="E42" i="7" s="1"/>
  <c r="R50" i="7"/>
  <c r="R51" i="7" s="1"/>
  <c r="Q50" i="7"/>
  <c r="Q51" i="7" s="1"/>
  <c r="P50" i="7"/>
  <c r="P51" i="7" s="1"/>
  <c r="I56" i="9"/>
  <c r="Q35" i="7"/>
  <c r="Q13" i="12"/>
  <c r="S32" i="7"/>
  <c r="S34" i="7" s="1"/>
  <c r="S31" i="7" s="1"/>
  <c r="T32" i="7"/>
  <c r="T34" i="7" s="1"/>
  <c r="T35" i="7" s="1"/>
  <c r="P35" i="7"/>
  <c r="P13" i="12"/>
  <c r="R35" i="7"/>
  <c r="R13" i="12"/>
  <c r="V53" i="7"/>
  <c r="V54" i="7" s="1"/>
  <c r="V28" i="7"/>
  <c r="V12" i="14" s="1"/>
  <c r="V13" i="14" s="1"/>
  <c r="U53" i="7"/>
  <c r="U54" i="7" s="1"/>
  <c r="U28" i="7"/>
  <c r="E60" i="9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E22" i="6"/>
  <c r="E17" i="6"/>
  <c r="E18" i="6"/>
  <c r="E19" i="6"/>
  <c r="E21" i="6"/>
  <c r="E23" i="6"/>
  <c r="E20" i="6"/>
  <c r="W24" i="7"/>
  <c r="H60" i="7" l="1"/>
  <c r="I55" i="7"/>
  <c r="I60" i="7" s="1"/>
  <c r="S37" i="7"/>
  <c r="S41" i="7" s="1"/>
  <c r="S50" i="7"/>
  <c r="S51" i="7" s="1"/>
  <c r="T31" i="7"/>
  <c r="T37" i="7" s="1"/>
  <c r="T41" i="7" s="1"/>
  <c r="J56" i="9"/>
  <c r="I61" i="9"/>
  <c r="S35" i="7"/>
  <c r="S13" i="12"/>
  <c r="T13" i="12"/>
  <c r="U12" i="14"/>
  <c r="U29" i="7"/>
  <c r="V29" i="7"/>
  <c r="F22" i="7"/>
  <c r="F23" i="9"/>
  <c r="W19" i="7"/>
  <c r="C14" i="6"/>
  <c r="D14" i="6" s="1"/>
  <c r="X24" i="7"/>
  <c r="J55" i="7" l="1"/>
  <c r="J60" i="7" s="1"/>
  <c r="T50" i="7"/>
  <c r="T51" i="7" s="1"/>
  <c r="K56" i="9"/>
  <c r="J61" i="9"/>
  <c r="K55" i="7"/>
  <c r="V32" i="7"/>
  <c r="U32" i="7"/>
  <c r="W53" i="7"/>
  <c r="W54" i="7" s="1"/>
  <c r="W28" i="7"/>
  <c r="F29" i="7"/>
  <c r="F30" i="9"/>
  <c r="U13" i="14"/>
  <c r="G23" i="9"/>
  <c r="G22" i="7"/>
  <c r="C15" i="6"/>
  <c r="D15" i="6" s="1"/>
  <c r="X19" i="7"/>
  <c r="Y24" i="7"/>
  <c r="L56" i="9" l="1"/>
  <c r="K61" i="9"/>
  <c r="F33" i="9"/>
  <c r="L55" i="7"/>
  <c r="K60" i="7"/>
  <c r="V34" i="7"/>
  <c r="V31" i="7" s="1"/>
  <c r="V37" i="7" s="1"/>
  <c r="V41" i="7" s="1"/>
  <c r="U34" i="7"/>
  <c r="U31" i="7" s="1"/>
  <c r="U37" i="7" s="1"/>
  <c r="U41" i="7" s="1"/>
  <c r="F32" i="7"/>
  <c r="G30" i="9"/>
  <c r="W12" i="14"/>
  <c r="W29" i="7"/>
  <c r="X53" i="7"/>
  <c r="X54" i="7" s="1"/>
  <c r="X28" i="7"/>
  <c r="G29" i="7"/>
  <c r="C16" i="6"/>
  <c r="D16" i="6" s="1"/>
  <c r="C17" i="6" s="1"/>
  <c r="D17" i="6" s="1"/>
  <c r="H23" i="9"/>
  <c r="H22" i="7"/>
  <c r="Y19" i="7"/>
  <c r="V50" i="7" l="1"/>
  <c r="V51" i="7" s="1"/>
  <c r="U50" i="7"/>
  <c r="U51" i="7" s="1"/>
  <c r="L61" i="9"/>
  <c r="M56" i="9"/>
  <c r="U35" i="7"/>
  <c r="U13" i="12"/>
  <c r="V35" i="7"/>
  <c r="V13" i="12"/>
  <c r="F35" i="9"/>
  <c r="F32" i="9" s="1"/>
  <c r="G33" i="9"/>
  <c r="H30" i="9"/>
  <c r="M55" i="7"/>
  <c r="L60" i="7"/>
  <c r="F34" i="7"/>
  <c r="F31" i="7" s="1"/>
  <c r="W32" i="7"/>
  <c r="G32" i="7"/>
  <c r="Y28" i="7"/>
  <c r="H29" i="7"/>
  <c r="W13" i="14"/>
  <c r="X12" i="14"/>
  <c r="X13" i="14" s="1"/>
  <c r="X29" i="7"/>
  <c r="J23" i="9"/>
  <c r="J22" i="7"/>
  <c r="I23" i="9"/>
  <c r="I22" i="7"/>
  <c r="Y53" i="7"/>
  <c r="Y54" i="7" s="1"/>
  <c r="C18" i="6"/>
  <c r="D18" i="6" s="1"/>
  <c r="F51" i="9" l="1"/>
  <c r="F52" i="9" s="1"/>
  <c r="F53" i="9" s="1"/>
  <c r="F57" i="9" s="1"/>
  <c r="F37" i="7"/>
  <c r="F50" i="7"/>
  <c r="N56" i="9"/>
  <c r="M61" i="9"/>
  <c r="F35" i="7"/>
  <c r="F13" i="12"/>
  <c r="F36" i="9"/>
  <c r="F38" i="9"/>
  <c r="G35" i="9"/>
  <c r="G32" i="9" s="1"/>
  <c r="G51" i="9" s="1"/>
  <c r="G52" i="9" s="1"/>
  <c r="H33" i="9"/>
  <c r="J30" i="9"/>
  <c r="M60" i="7"/>
  <c r="N55" i="7"/>
  <c r="W34" i="7"/>
  <c r="W31" i="7" s="1"/>
  <c r="W37" i="7" s="1"/>
  <c r="W41" i="7" s="1"/>
  <c r="G34" i="7"/>
  <c r="G31" i="7" s="1"/>
  <c r="H32" i="7"/>
  <c r="X32" i="7"/>
  <c r="Y12" i="14"/>
  <c r="Y13" i="14" s="1"/>
  <c r="Y29" i="7"/>
  <c r="I29" i="7"/>
  <c r="I30" i="9"/>
  <c r="J29" i="7"/>
  <c r="K23" i="9"/>
  <c r="K22" i="7"/>
  <c r="C19" i="6"/>
  <c r="D19" i="6" s="1"/>
  <c r="G53" i="9" l="1"/>
  <c r="G60" i="9" s="1"/>
  <c r="F60" i="9"/>
  <c r="E15" i="14"/>
  <c r="F57" i="7"/>
  <c r="F51" i="7"/>
  <c r="F52" i="7" s="1"/>
  <c r="G37" i="7"/>
  <c r="G41" i="7" s="1"/>
  <c r="G50" i="7"/>
  <c r="G51" i="7" s="1"/>
  <c r="W50" i="7"/>
  <c r="W51" i="7" s="1"/>
  <c r="F41" i="7"/>
  <c r="F42" i="7" s="1"/>
  <c r="F38" i="7"/>
  <c r="O56" i="9"/>
  <c r="N61" i="9"/>
  <c r="G35" i="7"/>
  <c r="G13" i="12"/>
  <c r="G14" i="12" s="1"/>
  <c r="W35" i="7"/>
  <c r="W13" i="12"/>
  <c r="G36" i="9"/>
  <c r="G38" i="9"/>
  <c r="G42" i="9" s="1"/>
  <c r="F42" i="9"/>
  <c r="F43" i="9" s="1"/>
  <c r="F39" i="9"/>
  <c r="H35" i="9"/>
  <c r="H32" i="9" s="1"/>
  <c r="H51" i="9" s="1"/>
  <c r="H52" i="9" s="1"/>
  <c r="J33" i="9"/>
  <c r="I33" i="9"/>
  <c r="K30" i="9"/>
  <c r="N60" i="7"/>
  <c r="O55" i="7"/>
  <c r="X34" i="7"/>
  <c r="X31" i="7" s="1"/>
  <c r="I32" i="7"/>
  <c r="H34" i="7"/>
  <c r="H31" i="7" s="1"/>
  <c r="J32" i="7"/>
  <c r="Y32" i="7"/>
  <c r="K29" i="7"/>
  <c r="L23" i="9"/>
  <c r="L22" i="7"/>
  <c r="C20" i="6"/>
  <c r="D20" i="6" s="1"/>
  <c r="G57" i="9" l="1"/>
  <c r="H53" i="9"/>
  <c r="H60" i="9" s="1"/>
  <c r="G38" i="7"/>
  <c r="G42" i="7"/>
  <c r="F56" i="7"/>
  <c r="F59" i="7"/>
  <c r="G52" i="7"/>
  <c r="H37" i="7"/>
  <c r="H41" i="7" s="1"/>
  <c r="H50" i="7"/>
  <c r="H51" i="7" s="1"/>
  <c r="X37" i="7"/>
  <c r="X41" i="7" s="1"/>
  <c r="X50" i="7"/>
  <c r="X51" i="7" s="1"/>
  <c r="P56" i="9"/>
  <c r="O61" i="9"/>
  <c r="G39" i="9"/>
  <c r="G43" i="9"/>
  <c r="X35" i="7"/>
  <c r="X13" i="12"/>
  <c r="H35" i="7"/>
  <c r="H13" i="12"/>
  <c r="H14" i="12" s="1"/>
  <c r="H36" i="9"/>
  <c r="H38" i="9"/>
  <c r="J35" i="9"/>
  <c r="J32" i="9" s="1"/>
  <c r="J51" i="9" s="1"/>
  <c r="J52" i="9" s="1"/>
  <c r="I35" i="9"/>
  <c r="I32" i="9" s="1"/>
  <c r="I51" i="9" s="1"/>
  <c r="I52" i="9" s="1"/>
  <c r="K33" i="9"/>
  <c r="L30" i="9"/>
  <c r="P55" i="7"/>
  <c r="O60" i="7"/>
  <c r="I34" i="7"/>
  <c r="I31" i="7" s="1"/>
  <c r="J34" i="7"/>
  <c r="J31" i="7" s="1"/>
  <c r="J37" i="7" s="1"/>
  <c r="J41" i="7" s="1"/>
  <c r="Y34" i="7"/>
  <c r="Y31" i="7" s="1"/>
  <c r="K32" i="7"/>
  <c r="L29" i="7"/>
  <c r="M23" i="9"/>
  <c r="M22" i="7"/>
  <c r="C21" i="6"/>
  <c r="D21" i="6" s="1"/>
  <c r="I53" i="9" l="1"/>
  <c r="I60" i="9" s="1"/>
  <c r="H57" i="9"/>
  <c r="H42" i="7"/>
  <c r="J50" i="7"/>
  <c r="J51" i="7" s="1"/>
  <c r="G56" i="7"/>
  <c r="H52" i="7"/>
  <c r="G59" i="7"/>
  <c r="H38" i="7"/>
  <c r="Y37" i="7"/>
  <c r="Y41" i="7" s="1"/>
  <c r="Y50" i="7"/>
  <c r="Y51" i="7" s="1"/>
  <c r="I37" i="7"/>
  <c r="I41" i="7" s="1"/>
  <c r="I42" i="7" s="1"/>
  <c r="J42" i="7" s="1"/>
  <c r="I50" i="7"/>
  <c r="I51" i="7" s="1"/>
  <c r="J53" i="9"/>
  <c r="J60" i="9" s="1"/>
  <c r="Q56" i="9"/>
  <c r="P61" i="9"/>
  <c r="Y35" i="7"/>
  <c r="Y13" i="12"/>
  <c r="J35" i="7"/>
  <c r="J13" i="12"/>
  <c r="J14" i="12" s="1"/>
  <c r="I35" i="7"/>
  <c r="I13" i="12"/>
  <c r="I14" i="12" s="1"/>
  <c r="H42" i="9"/>
  <c r="H43" i="9" s="1"/>
  <c r="J36" i="9"/>
  <c r="J38" i="9"/>
  <c r="J42" i="9" s="1"/>
  <c r="I36" i="9"/>
  <c r="I38" i="9"/>
  <c r="I42" i="9" s="1"/>
  <c r="H39" i="9"/>
  <c r="K35" i="9"/>
  <c r="K32" i="9" s="1"/>
  <c r="K51" i="9" s="1"/>
  <c r="K52" i="9" s="1"/>
  <c r="L33" i="9"/>
  <c r="M30" i="9"/>
  <c r="P60" i="7"/>
  <c r="Q55" i="7"/>
  <c r="K34" i="7"/>
  <c r="K31" i="7" s="1"/>
  <c r="L32" i="7"/>
  <c r="M29" i="7"/>
  <c r="N23" i="9"/>
  <c r="N22" i="7"/>
  <c r="C22" i="6"/>
  <c r="D22" i="6" s="1"/>
  <c r="I57" i="9" l="1"/>
  <c r="J57" i="9"/>
  <c r="K53" i="9"/>
  <c r="K60" i="9" s="1"/>
  <c r="I38" i="7"/>
  <c r="J38" i="7" s="1"/>
  <c r="K37" i="7"/>
  <c r="K41" i="7" s="1"/>
  <c r="K42" i="7" s="1"/>
  <c r="K50" i="7"/>
  <c r="K51" i="7" s="1"/>
  <c r="H56" i="7"/>
  <c r="I52" i="7"/>
  <c r="H59" i="7"/>
  <c r="R56" i="9"/>
  <c r="Q61" i="9"/>
  <c r="K35" i="7"/>
  <c r="K13" i="12"/>
  <c r="K14" i="12" s="1"/>
  <c r="K36" i="9"/>
  <c r="K38" i="9"/>
  <c r="K42" i="9" s="1"/>
  <c r="I39" i="9"/>
  <c r="I43" i="9"/>
  <c r="L35" i="9"/>
  <c r="L32" i="9" s="1"/>
  <c r="L51" i="9" s="1"/>
  <c r="L52" i="9" s="1"/>
  <c r="M33" i="9"/>
  <c r="N30" i="9"/>
  <c r="R55" i="7"/>
  <c r="S55" i="7" s="1"/>
  <c r="Q60" i="7"/>
  <c r="L34" i="7"/>
  <c r="L31" i="7" s="1"/>
  <c r="L37" i="7" s="1"/>
  <c r="L41" i="7" s="1"/>
  <c r="M32" i="7"/>
  <c r="N29" i="7"/>
  <c r="O23" i="9"/>
  <c r="O22" i="7"/>
  <c r="C23" i="6"/>
  <c r="J43" i="9" l="1"/>
  <c r="K43" i="9" s="1"/>
  <c r="J39" i="9"/>
  <c r="K39" i="9" s="1"/>
  <c r="L53" i="9"/>
  <c r="L57" i="9" s="1"/>
  <c r="K57" i="9"/>
  <c r="K38" i="7"/>
  <c r="L38" i="7" s="1"/>
  <c r="L42" i="7"/>
  <c r="I59" i="7"/>
  <c r="J52" i="7"/>
  <c r="I56" i="7"/>
  <c r="L50" i="7"/>
  <c r="L51" i="7" s="1"/>
  <c r="R60" i="7"/>
  <c r="R61" i="9"/>
  <c r="S56" i="9"/>
  <c r="L35" i="7"/>
  <c r="L13" i="12"/>
  <c r="L14" i="12" s="1"/>
  <c r="L36" i="9"/>
  <c r="L38" i="9"/>
  <c r="M35" i="9"/>
  <c r="M32" i="9" s="1"/>
  <c r="M51" i="9" s="1"/>
  <c r="M52" i="9" s="1"/>
  <c r="N33" i="9"/>
  <c r="O30" i="9"/>
  <c r="T55" i="7"/>
  <c r="S60" i="7"/>
  <c r="M34" i="7"/>
  <c r="M31" i="7" s="1"/>
  <c r="M37" i="7" s="1"/>
  <c r="M41" i="7" s="1"/>
  <c r="N32" i="7"/>
  <c r="O29" i="7"/>
  <c r="D23" i="6"/>
  <c r="M42" i="7" l="1"/>
  <c r="L60" i="9"/>
  <c r="M53" i="9"/>
  <c r="M60" i="9" s="1"/>
  <c r="M38" i="7"/>
  <c r="J56" i="7"/>
  <c r="J59" i="7"/>
  <c r="K52" i="7"/>
  <c r="M50" i="7"/>
  <c r="M51" i="7" s="1"/>
  <c r="S61" i="9"/>
  <c r="T56" i="9"/>
  <c r="M35" i="7"/>
  <c r="M13" i="12"/>
  <c r="M14" i="12" s="1"/>
  <c r="L42" i="9"/>
  <c r="L43" i="9" s="1"/>
  <c r="M36" i="9"/>
  <c r="M38" i="9"/>
  <c r="M42" i="9" s="1"/>
  <c r="L39" i="9"/>
  <c r="N35" i="9"/>
  <c r="N32" i="9" s="1"/>
  <c r="N51" i="9" s="1"/>
  <c r="N52" i="9" s="1"/>
  <c r="O33" i="9"/>
  <c r="T60" i="7"/>
  <c r="U55" i="7"/>
  <c r="N34" i="7"/>
  <c r="N31" i="7" s="1"/>
  <c r="N37" i="7" s="1"/>
  <c r="N41" i="7" s="1"/>
  <c r="O32" i="7"/>
  <c r="C24" i="6"/>
  <c r="M57" i="9" l="1"/>
  <c r="N42" i="7"/>
  <c r="N53" i="9"/>
  <c r="N60" i="9" s="1"/>
  <c r="N38" i="7"/>
  <c r="N50" i="7"/>
  <c r="N51" i="7" s="1"/>
  <c r="K59" i="7"/>
  <c r="K56" i="7"/>
  <c r="L52" i="7"/>
  <c r="U56" i="9"/>
  <c r="T61" i="9"/>
  <c r="N35" i="7"/>
  <c r="N13" i="12"/>
  <c r="N14" i="12" s="1"/>
  <c r="M39" i="9"/>
  <c r="N36" i="9"/>
  <c r="N38" i="9"/>
  <c r="N42" i="9" s="1"/>
  <c r="M43" i="9"/>
  <c r="O35" i="9"/>
  <c r="O32" i="9" s="1"/>
  <c r="V55" i="7"/>
  <c r="U60" i="7"/>
  <c r="O34" i="7"/>
  <c r="O31" i="7" s="1"/>
  <c r="P14" i="12"/>
  <c r="D24" i="6"/>
  <c r="O51" i="9" l="1"/>
  <c r="O52" i="9" s="1"/>
  <c r="O53" i="9" s="1"/>
  <c r="P53" i="9" s="1"/>
  <c r="P60" i="9" s="1"/>
  <c r="E47" i="9"/>
  <c r="N57" i="9"/>
  <c r="O37" i="7"/>
  <c r="O50" i="7"/>
  <c r="O51" i="7" s="1"/>
  <c r="L56" i="7"/>
  <c r="M52" i="7"/>
  <c r="N52" i="7" s="1"/>
  <c r="L59" i="7"/>
  <c r="U61" i="9"/>
  <c r="V56" i="9"/>
  <c r="O35" i="7"/>
  <c r="O13" i="12"/>
  <c r="O14" i="12" s="1"/>
  <c r="N39" i="9"/>
  <c r="N43" i="9"/>
  <c r="O36" i="9"/>
  <c r="O38" i="9"/>
  <c r="W55" i="7"/>
  <c r="V60" i="7"/>
  <c r="C25" i="6"/>
  <c r="D25" i="6" s="1"/>
  <c r="O57" i="9" l="1"/>
  <c r="O60" i="9"/>
  <c r="Q53" i="9"/>
  <c r="Q60" i="9" s="1"/>
  <c r="O39" i="9"/>
  <c r="P39" i="9" s="1"/>
  <c r="Q39" i="9" s="1"/>
  <c r="R39" i="9" s="1"/>
  <c r="S39" i="9" s="1"/>
  <c r="T39" i="9" s="1"/>
  <c r="U39" i="9" s="1"/>
  <c r="V39" i="9" s="1"/>
  <c r="W39" i="9" s="1"/>
  <c r="X39" i="9" s="1"/>
  <c r="Y39" i="9" s="1"/>
  <c r="E48" i="9" s="1" a="1"/>
  <c r="E48" i="9" s="1"/>
  <c r="P57" i="9"/>
  <c r="N56" i="7"/>
  <c r="N59" i="7"/>
  <c r="O52" i="7"/>
  <c r="O38" i="7"/>
  <c r="P38" i="7" s="1"/>
  <c r="Q38" i="7" s="1"/>
  <c r="R38" i="7" s="1"/>
  <c r="S38" i="7" s="1"/>
  <c r="T38" i="7" s="1"/>
  <c r="U38" i="7" s="1"/>
  <c r="V38" i="7" s="1"/>
  <c r="W38" i="7" s="1"/>
  <c r="X38" i="7" s="1"/>
  <c r="Y38" i="7" s="1"/>
  <c r="E47" i="7" s="1" a="1"/>
  <c r="E47" i="7" s="1"/>
  <c r="O41" i="7"/>
  <c r="O42" i="7" s="1"/>
  <c r="P42" i="7" s="1"/>
  <c r="Q42" i="7" s="1"/>
  <c r="R42" i="7" s="1"/>
  <c r="S42" i="7" s="1"/>
  <c r="T42" i="7" s="1"/>
  <c r="U42" i="7" s="1"/>
  <c r="V42" i="7" s="1"/>
  <c r="W42" i="7" s="1"/>
  <c r="X42" i="7" s="1"/>
  <c r="Y42" i="7" s="1"/>
  <c r="E48" i="7" s="1" a="1"/>
  <c r="E48" i="7" s="1"/>
  <c r="E44" i="7"/>
  <c r="E45" i="7"/>
  <c r="M59" i="7"/>
  <c r="M56" i="7"/>
  <c r="W56" i="9"/>
  <c r="V61" i="9"/>
  <c r="O42" i="9"/>
  <c r="O43" i="9" s="1"/>
  <c r="P43" i="9" s="1"/>
  <c r="Q43" i="9" s="1"/>
  <c r="R43" i="9" s="1"/>
  <c r="S43" i="9" s="1"/>
  <c r="T43" i="9" s="1"/>
  <c r="U43" i="9" s="1"/>
  <c r="V43" i="9" s="1"/>
  <c r="W43" i="9" s="1"/>
  <c r="X43" i="9" s="1"/>
  <c r="Y43" i="9" s="1"/>
  <c r="E49" i="9" s="1" a="1"/>
  <c r="E49" i="9" s="1"/>
  <c r="E45" i="9"/>
  <c r="E46" i="9"/>
  <c r="W60" i="7"/>
  <c r="X55" i="7"/>
  <c r="Q14" i="12"/>
  <c r="C26" i="6"/>
  <c r="D26" i="6"/>
  <c r="R53" i="9" l="1"/>
  <c r="R57" i="9" s="1"/>
  <c r="Q57" i="9"/>
  <c r="E17" i="16"/>
  <c r="E18" i="16"/>
  <c r="C35" i="13"/>
  <c r="E16" i="16"/>
  <c r="O56" i="7"/>
  <c r="O59" i="7"/>
  <c r="P52" i="7"/>
  <c r="E15" i="16"/>
  <c r="B35" i="13"/>
  <c r="W61" i="9"/>
  <c r="X56" i="9"/>
  <c r="E35" i="13"/>
  <c r="D35" i="13"/>
  <c r="Y55" i="7"/>
  <c r="Y60" i="7" s="1"/>
  <c r="X60" i="7"/>
  <c r="R14" i="12"/>
  <c r="C27" i="6"/>
  <c r="D27" i="6" s="1"/>
  <c r="R60" i="9" l="1"/>
  <c r="P59" i="7"/>
  <c r="Q52" i="7"/>
  <c r="P56" i="7"/>
  <c r="X61" i="9"/>
  <c r="Y56" i="9"/>
  <c r="Y61" i="9" s="1"/>
  <c r="S14" i="12"/>
  <c r="C28" i="6"/>
  <c r="S53" i="9"/>
  <c r="S60" i="9" s="1"/>
  <c r="Q59" i="7" l="1"/>
  <c r="R52" i="7"/>
  <c r="Q56" i="7"/>
  <c r="T14" i="12"/>
  <c r="T53" i="9"/>
  <c r="D28" i="6"/>
  <c r="S57" i="9"/>
  <c r="R56" i="7" l="1"/>
  <c r="R59" i="7"/>
  <c r="S52" i="7"/>
  <c r="T57" i="9"/>
  <c r="T60" i="9"/>
  <c r="C29" i="6"/>
  <c r="S56" i="7" l="1"/>
  <c r="T52" i="7"/>
  <c r="U52" i="7" s="1"/>
  <c r="U59" i="7" s="1"/>
  <c r="S59" i="7"/>
  <c r="U14" i="12"/>
  <c r="U53" i="9"/>
  <c r="U60" i="9" s="1"/>
  <c r="D29" i="6"/>
  <c r="T59" i="7" l="1"/>
  <c r="T56" i="7"/>
  <c r="U56" i="7"/>
  <c r="C30" i="6"/>
  <c r="D30" i="6" s="1"/>
  <c r="U57" i="9"/>
  <c r="V14" i="12" l="1"/>
  <c r="V52" i="7"/>
  <c r="V53" i="9"/>
  <c r="C31" i="6"/>
  <c r="D31" i="6" s="1"/>
  <c r="W14" i="12" l="1"/>
  <c r="W52" i="7"/>
  <c r="V56" i="7"/>
  <c r="V59" i="7"/>
  <c r="W53" i="9"/>
  <c r="C32" i="6"/>
  <c r="D32" i="6" s="1"/>
  <c r="V57" i="9"/>
  <c r="V60" i="9"/>
  <c r="X14" i="12" l="1"/>
  <c r="W57" i="9"/>
  <c r="W56" i="7"/>
  <c r="X52" i="7"/>
  <c r="W60" i="9"/>
  <c r="X53" i="9"/>
  <c r="W59" i="7"/>
  <c r="Y14" i="12" l="1"/>
  <c r="X57" i="9"/>
  <c r="X56" i="7"/>
  <c r="Y53" i="9"/>
  <c r="X59" i="7"/>
  <c r="Y52" i="7"/>
  <c r="Y56" i="7" s="1"/>
  <c r="X60" i="9"/>
  <c r="Y59" i="7" l="1"/>
  <c r="Y60" i="9"/>
  <c r="F14" i="12" l="1"/>
  <c r="E20" i="12" l="1"/>
  <c r="E19" i="12"/>
  <c r="E14" i="1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<sst xmlns="http://schemas.openxmlformats.org/spreadsheetml/2006/main" count="355" uniqueCount="222">
  <si>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</si>
  <si>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</si>
  <si>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</si>
  <si>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</si>
  <si>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</si>
  <si>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</si>
  <si>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</si>
  <si>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</si>
  <si>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</si>
  <si>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</si>
  <si>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</si>
  <si>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</si>
  <si>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</si>
  <si>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</si>
  <si>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</si>
  <si>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</si>
  <si>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</si>
  <si>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</si>
  <si>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</si>
  <si>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</si>
  <si>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</si>
  <si>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</si>
  <si>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</si>
  <si>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</si>
  <si>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</si>
  <si>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EUR/a</t>
  </si>
  <si>
    <t>Period</t>
  </si>
  <si>
    <t>NPV (EUR)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</si>
  <si>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</si>
  <si>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</si>
  <si>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</si>
  <si>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</si>
  <si>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</si>
  <si>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</si>
  <si>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</si>
  <si>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</si>
  <si>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</si>
  <si>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</si>
  <si>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</si>
  <si>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</si>
  <si>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</si>
  <si>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</si>
  <si>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</si>
  <si>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</si>
  <si>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</si>
  <si>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</si>
  <si>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</si>
  <si>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</si>
  <si>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</si>
  <si>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</si>
  <si>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</si>
  <si>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</si>
  <si>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</si>
  <si>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</si>
  <si>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</si>
  <si>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</si>
  <si>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</si>
  <si>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</si>
  <si>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</si>
  <si>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</si>
  <si>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</si>
  <si>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ENERGIJA I TROŠKOVI ENERGIJE</t>
  </si>
  <si>
    <t>Proizvodna cena toplote</t>
  </si>
  <si>
    <t>Ušteda u novcu</t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</si>
  <si>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</si>
  <si>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</si>
  <si>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</si>
  <si>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</si>
  <si>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</si>
  <si>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</si>
  <si>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</si>
  <si>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</si>
  <si>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</si>
  <si>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</si>
  <si>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</si>
  <si>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</si>
  <si>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</si>
  <si>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</si>
  <si>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</si>
  <si>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</si>
  <si>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</si>
  <si>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</si>
  <si>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</si>
  <si>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</si>
  <si>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</si>
  <si>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</si>
  <si>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</si>
  <si>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</si>
  <si>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Ostali troškovi</t>
  </si>
  <si>
    <t>Ukupni godišnji troškovi (EUR/a)</t>
  </si>
  <si>
    <t>Graf - Prihodi, diskontovani, kumul.</t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</si>
  <si>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</si>
  <si>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</si>
  <si>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</si>
  <si>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</si>
  <si>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</si>
  <si>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</si>
  <si>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</si>
  <si>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</si>
  <si>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</si>
  <si>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</si>
  <si>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Priključenje novog objekta</t>
  </si>
  <si>
    <t>MWth</t>
  </si>
  <si>
    <t>Toplotni gubici u mreži daljinskog grejanja</t>
  </si>
  <si>
    <t>%</t>
  </si>
  <si>
    <t>kWe</t>
  </si>
  <si>
    <t>Cena električne energije</t>
  </si>
  <si>
    <t>RSD/Mwhe</t>
  </si>
  <si>
    <t>RSD/MWhth</t>
  </si>
  <si>
    <t>Nabavka regulacione opreme i kontrolera</t>
  </si>
  <si>
    <t>Nabavka pratećeg materijala</t>
  </si>
  <si>
    <t>Nabavka SCADA softvera</t>
  </si>
  <si>
    <t>Ugradnja regulacione opreme</t>
  </si>
  <si>
    <t>Rekonstrukcija elektro ormana</t>
  </si>
  <si>
    <t>Setovanje kontrolera na lokaciji</t>
  </si>
  <si>
    <t>Izrada aplikacionog softvera</t>
  </si>
  <si>
    <t>Puštanje u rad i dokazivanje parametara</t>
  </si>
  <si>
    <t>Nepredviđeni radovi</t>
  </si>
  <si>
    <t>Ugradnja kontrolera</t>
  </si>
  <si>
    <t>Toplotni konzum</t>
  </si>
  <si>
    <t>Električna snaga elektromotornih pogona</t>
  </si>
  <si>
    <t>Isporučena toplota - mereno na TPS</t>
  </si>
  <si>
    <t>Isporučena toplota - prema projektima objekata</t>
  </si>
  <si>
    <t>Potencijal uštede</t>
  </si>
  <si>
    <t>MWhth/a</t>
  </si>
  <si>
    <t>MWth/a</t>
  </si>
  <si>
    <t>Odnos toplota/električna energija</t>
  </si>
  <si>
    <t>-</t>
  </si>
  <si>
    <t>Ušteda električne energije</t>
  </si>
  <si>
    <t>Ušteda toplote</t>
  </si>
  <si>
    <t>Emisioni faktor za toplotu</t>
  </si>
  <si>
    <t>Emisioni faktor za električnu energiju</t>
  </si>
  <si>
    <t>t/Mwhe</t>
  </si>
  <si>
    <t>t/MWhth</t>
  </si>
  <si>
    <t>Ušteda toplote (MWhth/a)</t>
  </si>
  <si>
    <t>Uštede električne energije (MWhe/a)</t>
  </si>
  <si>
    <t>Ostali troškovi - licence (EUR/a)</t>
  </si>
  <si>
    <t>Licence</t>
  </si>
  <si>
    <t>NAZAD</t>
  </si>
  <si>
    <t>DALJE</t>
  </si>
  <si>
    <t>Miks goriva</t>
  </si>
  <si>
    <t>Udeo u uštedama ako gradi ESCO (EUR)</t>
  </si>
  <si>
    <t>Udeo u uštedama ako gradi ESCO (EUR/a)</t>
  </si>
  <si>
    <t>ESCO INVESTICIJA</t>
  </si>
  <si>
    <t>Diskontovana vrednost udela (EUR)</t>
  </si>
  <si>
    <t>IRR(%)</t>
  </si>
  <si>
    <t>N/A</t>
  </si>
  <si>
    <t>GRAFIK / CASH FLOW / FINANSIJSKI</t>
  </si>
  <si>
    <t>REZIME PROJEKTA</t>
  </si>
  <si>
    <t>Projekat</t>
  </si>
  <si>
    <t>Investiciona vrednost (EUR)</t>
  </si>
  <si>
    <t>Subvencije (EUR)</t>
  </si>
  <si>
    <t>LCoE(EE) (EUR/MWh)</t>
  </si>
  <si>
    <t>FNPV (EUR)</t>
  </si>
  <si>
    <t>FIRR (%)</t>
  </si>
  <si>
    <t>Grantovi (EUR)</t>
  </si>
  <si>
    <t>Grantovi</t>
  </si>
  <si>
    <t>Kredit</t>
  </si>
  <si>
    <t>Sopstveni kapital</t>
  </si>
  <si>
    <t>Ukupno</t>
  </si>
  <si>
    <t>Finansijska diskontna stopa</t>
  </si>
  <si>
    <t>Prinos na sopstveni kapital</t>
  </si>
  <si>
    <t>PRIHODI</t>
  </si>
  <si>
    <t>TROŠKOVI</t>
  </si>
  <si>
    <t>Kamate (EUR/a)</t>
  </si>
  <si>
    <t>Otplata glavnice (EUR/a)</t>
  </si>
  <si>
    <t>Amortizacija (EUR)</t>
  </si>
  <si>
    <t>Ukupno troškovi cash flow</t>
  </si>
  <si>
    <t>BRUTO DOBIT (EUR/a)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</si>
  <si>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</si>
  <si>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</si>
  <si>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</si>
  <si>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</si>
  <si>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</si>
  <si>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</si>
  <si>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</si>
  <si>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</si>
  <si>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</si>
  <si>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</si>
  <si>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</si>
  <si>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</si>
  <si>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</si>
  <si>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</si>
  <si>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</si>
  <si>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</si>
  <si>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</si>
  <si>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</si>
  <si>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</si>
  <si>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</si>
  <si>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</si>
  <si>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</si>
  <si>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</si>
  <si>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</si>
  <si>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t>Cena toplote</t>
  </si>
  <si>
    <t>Investicije</t>
  </si>
  <si>
    <r>
      <t>Cena CO</t>
    </r>
    <r>
      <rPr>
        <b/>
        <sz val="11"/>
        <color theme="1"/>
        <rFont val="Calibri"/>
        <family val="2"/>
      </rPr>
      <t>₂</t>
    </r>
  </si>
  <si>
    <t>Projekat “Bolja energija"</t>
  </si>
  <si>
    <r>
      <t>ANALIZA SA UKLJUČENIM CO</t>
    </r>
    <r>
      <rPr>
        <b/>
        <sz val="16"/>
        <color theme="0"/>
        <rFont val="Calibri"/>
        <family val="2"/>
      </rPr>
      <t>₂</t>
    </r>
  </si>
  <si>
    <t>Toplota iz DH na gas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</si>
  <si>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</si>
  <si>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</si>
  <si>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</si>
  <si>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</si>
  <si>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</si>
  <si>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MWh/a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</si>
  <si>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</si>
  <si>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</si>
  <si>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UKUPNO: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</si>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</sst>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;[Red]\-&quot;$&quot;#,##0.00"/>
    <numFmt numFmtId="165" formatCode="#,##0.00_ ;[Red]\-#,##0.00\ "/>
    <numFmt numFmtId="166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sz val="9"/>
      <color rgb="FF002F6C"/>
      <name val="Gill Sans MT"/>
      <family val="2"/>
    </font>
    <font>
      <b/>
      <sz val="16"/>
      <color theme="0"/>
      <name val="Calibri"/>
      <family val="2"/>
    </font>
    <font>
      <sz val="11"/>
      <color rgb="FFFFFFFF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vertAlign val="subscript"/>
      <sz val="11"/>
      <color rgb="FFFFFFF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86">
    <xf numFmtId="0" fontId="0" fillId="0" borderId="0" xfId="0"/>
    <xf numFmtId="0" fontId="1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0" fillId="0" borderId="0" xfId="0" applyProtection="1">
      <protection hidden="1"/>
    </xf>
    <xf numFmtId="4" fontId="2" fillId="4" borderId="0" xfId="0" applyNumberFormat="1" applyFont="1" applyFill="1"/>
    <xf numFmtId="10" fontId="2" fillId="4" borderId="0" xfId="0" applyNumberFormat="1" applyFont="1" applyFill="1"/>
    <xf numFmtId="4" fontId="0" fillId="0" borderId="0" xfId="0" applyNumberFormat="1" applyAlignment="1" applyProtection="1">
      <alignment horizontal="right"/>
      <protection locked="0"/>
    </xf>
    <xf numFmtId="4" fontId="2" fillId="7" borderId="0" xfId="0" applyNumberFormat="1" applyFont="1" applyFill="1"/>
    <xf numFmtId="2" fontId="2" fillId="7" borderId="0" xfId="0" applyNumberFormat="1" applyFont="1" applyFill="1"/>
    <xf numFmtId="0" fontId="0" fillId="0" borderId="1" xfId="0" applyBorder="1"/>
    <xf numFmtId="0" fontId="2" fillId="6" borderId="1" xfId="0" applyFont="1" applyFill="1" applyBorder="1"/>
    <xf numFmtId="0" fontId="0" fillId="6" borderId="1" xfId="0" applyFill="1" applyBorder="1"/>
    <xf numFmtId="2" fontId="0" fillId="0" borderId="0" xfId="0" applyNumberFormat="1"/>
    <xf numFmtId="10" fontId="0" fillId="0" borderId="0" xfId="2" applyNumberFormat="1" applyFont="1"/>
    <xf numFmtId="10" fontId="11" fillId="0" borderId="0" xfId="2" applyNumberFormat="1" applyFont="1"/>
    <xf numFmtId="0" fontId="11" fillId="0" borderId="0" xfId="0" applyFont="1"/>
    <xf numFmtId="0" fontId="0" fillId="10" borderId="0" xfId="0" applyFill="1"/>
    <xf numFmtId="0" fontId="0" fillId="5" borderId="0" xfId="0" applyFill="1"/>
    <xf numFmtId="4" fontId="0" fillId="5" borderId="0" xfId="0" applyNumberFormat="1" applyFill="1"/>
    <xf numFmtId="0" fontId="12" fillId="0" borderId="0" xfId="0" applyFont="1" applyAlignment="1">
      <alignment horizontal="left"/>
    </xf>
    <xf numFmtId="0" fontId="12" fillId="11" borderId="0" xfId="0" applyFont="1" applyFill="1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11" borderId="0" xfId="0" applyFill="1"/>
    <xf numFmtId="165" fontId="0" fillId="11" borderId="0" xfId="0" applyNumberFormat="1" applyFill="1"/>
    <xf numFmtId="10" fontId="0" fillId="11" borderId="0" xfId="0" applyNumberFormat="1" applyFill="1"/>
    <xf numFmtId="0" fontId="0" fillId="11" borderId="0" xfId="0" applyFill="1" applyAlignment="1">
      <alignment horizontal="left"/>
    </xf>
    <xf numFmtId="4" fontId="0" fillId="11" borderId="0" xfId="0" applyNumberFormat="1" applyFill="1"/>
    <xf numFmtId="2" fontId="0" fillId="11" borderId="0" xfId="0" applyNumberFormat="1" applyFill="1"/>
    <xf numFmtId="0" fontId="10" fillId="0" borderId="2" xfId="0" applyFont="1" applyBorder="1" applyAlignment="1">
      <alignment horizontal="centerContinuous"/>
    </xf>
    <xf numFmtId="0" fontId="10" fillId="0" borderId="3" xfId="0" applyFont="1" applyBorder="1" applyAlignment="1">
      <alignment horizontal="centerContinuous"/>
    </xf>
    <xf numFmtId="0" fontId="10" fillId="0" borderId="4" xfId="0" applyFont="1" applyBorder="1" applyAlignment="1">
      <alignment horizontal="center"/>
    </xf>
    <xf numFmtId="0" fontId="10" fillId="0" borderId="0" xfId="0" applyFont="1"/>
    <xf numFmtId="165" fontId="0" fillId="0" borderId="0" xfId="2" applyNumberFormat="1" applyFont="1"/>
    <xf numFmtId="10" fontId="0" fillId="0" borderId="0" xfId="2" applyNumberFormat="1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6" fontId="12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9" fillId="0" borderId="0" xfId="0" applyFont="1"/>
    <xf numFmtId="0" fontId="15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8" fillId="8" borderId="0" xfId="1" applyFont="1" applyFill="1" applyAlignment="1" applyProtection="1">
      <alignment horizontal="center" vertical="distributed"/>
      <protection locked="0"/>
    </xf>
    <xf numFmtId="0" fontId="8" fillId="9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0" fillId="5" borderId="0" xfId="0" applyFill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0" fontId="1" fillId="4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17" fillId="12" borderId="0" xfId="0" applyFont="1" applyFill="1" applyAlignment="1">
      <alignment horizontal="left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-936308.35017793719</c:v>
                </c:pt>
                <c:pt idx="2">
                  <c:v>-813393.03863615962</c:v>
                </c:pt>
                <c:pt idx="3">
                  <c:v>-691681.67027981859</c:v>
                </c:pt>
                <c:pt idx="4">
                  <c:v>-571318.7182911667</c:v>
                </c:pt>
                <c:pt idx="5">
                  <c:v>-452465.99263432669</c:v>
                </c:pt>
                <c:pt idx="6">
                  <c:v>-335304.7204691153</c:v>
                </c:pt>
                <c:pt idx="7">
                  <c:v>-220037.87621452892</c:v>
                </c:pt>
                <c:pt idx="8">
                  <c:v>-106892.79121984169</c:v>
                </c:pt>
                <c:pt idx="9">
                  <c:v>3875.9234037576243</c:v>
                </c:pt>
                <c:pt idx="10">
                  <c:v>111983.1032117391</c:v>
                </c:pt>
                <c:pt idx="11">
                  <c:v>402588.76806574501</c:v>
                </c:pt>
                <c:pt idx="12">
                  <c:v>693194.43291975092</c:v>
                </c:pt>
                <c:pt idx="13">
                  <c:v>983800.09777375637</c:v>
                </c:pt>
                <c:pt idx="14">
                  <c:v>1274405.7626277618</c:v>
                </c:pt>
                <c:pt idx="15">
                  <c:v>1565011.4274817673</c:v>
                </c:pt>
                <c:pt idx="16">
                  <c:v>1855617.0923357727</c:v>
                </c:pt>
                <c:pt idx="17">
                  <c:v>2146222.7571897781</c:v>
                </c:pt>
                <c:pt idx="18">
                  <c:v>2436828.4220437836</c:v>
                </c:pt>
                <c:pt idx="19">
                  <c:v>2727434.0868977886</c:v>
                </c:pt>
                <c:pt idx="20">
                  <c:v>3018039.7517517935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75-4A75-A63D-DF49BB3A1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772672"/>
        <c:axId val="167680192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1048000</c:v>
                </c:pt>
                <c:pt idx="1">
                  <c:v>1271774.8867540606</c:v>
                </c:pt>
                <c:pt idx="2">
                  <c:v>1521265.0632758189</c:v>
                </c:pt>
                <c:pt idx="3">
                  <c:v>1771959.1829830138</c:v>
                </c:pt>
                <c:pt idx="4">
                  <c:v>2024001.7190578978</c:v>
                </c:pt>
                <c:pt idx="5">
                  <c:v>2277554.4814645937</c:v>
                </c:pt>
                <c:pt idx="6">
                  <c:v>2532798.6973629184</c:v>
                </c:pt>
                <c:pt idx="7">
                  <c:v>2789937.3411718681</c:v>
                </c:pt>
                <c:pt idx="8">
                  <c:v>3049197.744240717</c:v>
                </c:pt>
                <c:pt idx="9">
                  <c:v>3310834.5176806538</c:v>
                </c:pt>
                <c:pt idx="10">
                  <c:v>3575132.8259362085</c:v>
                </c:pt>
                <c:pt idx="11">
                  <c:v>3656932.6491457387</c:v>
                </c:pt>
                <c:pt idx="12">
                  <c:v>3738732.4723552689</c:v>
                </c:pt>
                <c:pt idx="13">
                  <c:v>3820532.2955647991</c:v>
                </c:pt>
                <c:pt idx="14">
                  <c:v>3902332.1187743293</c:v>
                </c:pt>
                <c:pt idx="15">
                  <c:v>3984131.9419838595</c:v>
                </c:pt>
                <c:pt idx="16">
                  <c:v>4065931.7651933897</c:v>
                </c:pt>
                <c:pt idx="17">
                  <c:v>4147731.5884029199</c:v>
                </c:pt>
                <c:pt idx="18">
                  <c:v>4229531.4116124501</c:v>
                </c:pt>
                <c:pt idx="19">
                  <c:v>4311331.2348219808</c:v>
                </c:pt>
                <c:pt idx="20">
                  <c:v>4393131.0580315115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875-4A75-A63D-DF49BB3A1F13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335466.53657612338</c:v>
                </c:pt>
                <c:pt idx="2">
                  <c:v>707872.02463965933</c:v>
                </c:pt>
                <c:pt idx="3">
                  <c:v>1080277.5127031952</c:v>
                </c:pt>
                <c:pt idx="4">
                  <c:v>1452683.0007667311</c:v>
                </c:pt>
                <c:pt idx="5">
                  <c:v>1825088.488830267</c:v>
                </c:pt>
                <c:pt idx="6">
                  <c:v>2197493.9768938031</c:v>
                </c:pt>
                <c:pt idx="7">
                  <c:v>2569899.4649573392</c:v>
                </c:pt>
                <c:pt idx="8">
                  <c:v>2942304.9530208753</c:v>
                </c:pt>
                <c:pt idx="9">
                  <c:v>3314710.4410844115</c:v>
                </c:pt>
                <c:pt idx="10">
                  <c:v>3687115.9291479476</c:v>
                </c:pt>
                <c:pt idx="11">
                  <c:v>4059521.4172114837</c:v>
                </c:pt>
                <c:pt idx="12">
                  <c:v>4431926.9052750198</c:v>
                </c:pt>
                <c:pt idx="13">
                  <c:v>4804332.3933385555</c:v>
                </c:pt>
                <c:pt idx="14">
                  <c:v>5176737.8814020911</c:v>
                </c:pt>
                <c:pt idx="15">
                  <c:v>5549143.3694656268</c:v>
                </c:pt>
                <c:pt idx="16">
                  <c:v>5921548.8575291624</c:v>
                </c:pt>
                <c:pt idx="17">
                  <c:v>6293954.3455926981</c:v>
                </c:pt>
                <c:pt idx="18">
                  <c:v>6666359.8336562337</c:v>
                </c:pt>
                <c:pt idx="19">
                  <c:v>7038765.3217197694</c:v>
                </c:pt>
                <c:pt idx="20">
                  <c:v>7411170.809783305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875-4A75-A63D-DF49BB3A1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772672"/>
        <c:axId val="167680192"/>
      </c:lineChart>
      <c:catAx>
        <c:axId val="16777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680192"/>
        <c:crosses val="autoZero"/>
        <c:auto val="1"/>
        <c:lblAlgn val="ctr"/>
        <c:lblOffset val="100"/>
        <c:noMultiLvlLbl val="0"/>
      </c:catAx>
      <c:valAx>
        <c:axId val="16768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77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-1119319.6573348213</c:v>
                </c:pt>
                <c:pt idx="2">
                  <c:v>-977544.99095433392</c:v>
                </c:pt>
                <c:pt idx="3">
                  <c:v>-836974.26775928331</c:v>
                </c:pt>
                <c:pt idx="4">
                  <c:v>-697751.96093192161</c:v>
                </c:pt>
                <c:pt idx="5">
                  <c:v>-560039.88043637155</c:v>
                </c:pt>
                <c:pt idx="6">
                  <c:v>-424019.25343245035</c:v>
                </c:pt>
                <c:pt idx="7">
                  <c:v>-289893.05433915416</c:v>
                </c:pt>
                <c:pt idx="8">
                  <c:v>-157888.61450575758</c:v>
                </c:pt>
                <c:pt idx="9">
                  <c:v>-28260.545043448452</c:v>
                </c:pt>
                <c:pt idx="10">
                  <c:v>98705.989603242837</c:v>
                </c:pt>
                <c:pt idx="11">
                  <c:v>408171.00929595809</c:v>
                </c:pt>
                <c:pt idx="12">
                  <c:v>717636.02898867335</c:v>
                </c:pt>
                <c:pt idx="13">
                  <c:v>1027101.0486813886</c:v>
                </c:pt>
                <c:pt idx="14">
                  <c:v>1336566.0683741039</c:v>
                </c:pt>
                <c:pt idx="15">
                  <c:v>1646031.0880668191</c:v>
                </c:pt>
                <c:pt idx="16">
                  <c:v>1955496.1077595344</c:v>
                </c:pt>
                <c:pt idx="17">
                  <c:v>2264961.1274522496</c:v>
                </c:pt>
                <c:pt idx="18">
                  <c:v>2574426.1471449649</c:v>
                </c:pt>
                <c:pt idx="19">
                  <c:v>2883891.1668376802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F3-48EB-B9DA-929EE5E15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5863296"/>
        <c:axId val="182233344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1048000</c:v>
                </c:pt>
                <c:pt idx="1">
                  <c:v>1474772.8913734341</c:v>
                </c:pt>
                <c:pt idx="2">
                  <c:v>1727591.1893373176</c:v>
                </c:pt>
                <c:pt idx="3">
                  <c:v>1981613.4304866379</c:v>
                </c:pt>
                <c:pt idx="4">
                  <c:v>2236984.088003647</c:v>
                </c:pt>
                <c:pt idx="5">
                  <c:v>2493864.9718524679</c:v>
                </c:pt>
                <c:pt idx="6">
                  <c:v>2752437.3091929178</c:v>
                </c:pt>
                <c:pt idx="7">
                  <c:v>3012904.0744439927</c:v>
                </c:pt>
                <c:pt idx="8">
                  <c:v>3275492.5989549672</c:v>
                </c:pt>
                <c:pt idx="9">
                  <c:v>3540457.4938370292</c:v>
                </c:pt>
                <c:pt idx="10">
                  <c:v>3808083.923534709</c:v>
                </c:pt>
                <c:pt idx="11">
                  <c:v>3893211.8681863649</c:v>
                </c:pt>
                <c:pt idx="12">
                  <c:v>3978339.8128380207</c:v>
                </c:pt>
                <c:pt idx="13">
                  <c:v>4063467.7574896766</c:v>
                </c:pt>
                <c:pt idx="14">
                  <c:v>4148595.7021413324</c:v>
                </c:pt>
                <c:pt idx="15">
                  <c:v>4233723.6467929883</c:v>
                </c:pt>
                <c:pt idx="16">
                  <c:v>4318851.5914446441</c:v>
                </c:pt>
                <c:pt idx="17">
                  <c:v>4403979.5360963</c:v>
                </c:pt>
                <c:pt idx="18">
                  <c:v>4489107.4807479559</c:v>
                </c:pt>
                <c:pt idx="19">
                  <c:v>4574235.4253996117</c:v>
                </c:pt>
                <c:pt idx="20">
                  <c:v>4659363.3700512676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DF3-48EB-B9DA-929EE5E1504C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Prihodi,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355453.23403861275</c:v>
                </c:pt>
                <c:pt idx="2">
                  <c:v>750046.19838298368</c:v>
                </c:pt>
                <c:pt idx="3">
                  <c:v>1144639.1627273546</c:v>
                </c:pt>
                <c:pt idx="4">
                  <c:v>1539232.1270717254</c:v>
                </c:pt>
                <c:pt idx="5">
                  <c:v>1933825.0914160963</c:v>
                </c:pt>
                <c:pt idx="6">
                  <c:v>2328418.0557604674</c:v>
                </c:pt>
                <c:pt idx="7">
                  <c:v>2723011.0201048385</c:v>
                </c:pt>
                <c:pt idx="8">
                  <c:v>3117603.9844492096</c:v>
                </c:pt>
                <c:pt idx="9">
                  <c:v>3512196.9487935808</c:v>
                </c:pt>
                <c:pt idx="10">
                  <c:v>3906789.9131379519</c:v>
                </c:pt>
                <c:pt idx="11">
                  <c:v>4301382.877482323</c:v>
                </c:pt>
                <c:pt idx="12">
                  <c:v>4695975.8418266941</c:v>
                </c:pt>
                <c:pt idx="13">
                  <c:v>5090568.8061710652</c:v>
                </c:pt>
                <c:pt idx="14">
                  <c:v>5485161.7705154363</c:v>
                </c:pt>
                <c:pt idx="15">
                  <c:v>5879754.7348598074</c:v>
                </c:pt>
                <c:pt idx="16">
                  <c:v>6274347.6992041785</c:v>
                </c:pt>
                <c:pt idx="17">
                  <c:v>6668940.6635485496</c:v>
                </c:pt>
                <c:pt idx="18">
                  <c:v>7063533.6278929207</c:v>
                </c:pt>
                <c:pt idx="19">
                  <c:v>7458126.5922372919</c:v>
                </c:pt>
                <c:pt idx="20">
                  <c:v>7852719.556581663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DF3-48EB-B9DA-929EE5E15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5863296"/>
        <c:axId val="182233344"/>
      </c:lineChart>
      <c:catAx>
        <c:axId val="175863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233344"/>
        <c:crosses val="autoZero"/>
        <c:auto val="1"/>
        <c:lblAlgn val="ctr"/>
        <c:lblOffset val="100"/>
        <c:noMultiLvlLbl val="0"/>
      </c:catAx>
      <c:valAx>
        <c:axId val="18223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6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[2]FinaIndikatori!$A$37</c:f>
              <c:strCache>
                <c:ptCount val="1"/>
                <c:pt idx="0">
                  <c:v>Dobit nakon oporezivanja (EUR/a)</c:v>
                </c:pt>
              </c:strCache>
              <c:extLst xmlns:c15="http://schemas.microsoft.com/office/drawing/2012/chart" xmlns:c16r2="http://schemas.microsoft.com/office/drawing/2015/06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[2]FinaIndikatori!$E$37:$Y$37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5="http://schemas.microsoft.com/office/drawing/2012/chart" xmlns:c16r2="http://schemas.microsoft.com/office/drawing/2015/06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65-4258-9DAD-5EB116F43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9390848"/>
        <c:axId val="68812800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065-4258-9DAD-5EB116F43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390848"/>
        <c:axId val="6881280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[2]FinaIndikatori!$E$3:$Y$3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065-4258-9DAD-5EB116F43015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065-4258-9DAD-5EB116F43015}"/>
                  </c:ext>
                </c:extLst>
              </c15:ser>
            </c15:filteredLineSeries>
          </c:ext>
        </c:extLst>
      </c:lineChart>
      <c:catAx>
        <c:axId val="69390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12800"/>
        <c:crosses val="autoZero"/>
        <c:auto val="1"/>
        <c:lblAlgn val="ctr"/>
        <c:lblOffset val="100"/>
        <c:noMultiLvlLbl val="0"/>
      </c:catAx>
      <c:valAx>
        <c:axId val="688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9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95250</xdr:rowOff>
    </xdr:from>
    <xdr:to>
      <xdr:col>2</xdr:col>
      <xdr:colOff>219875</xdr:colOff>
      <xdr:row>14</xdr:row>
      <xdr:rowOff>104428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133350</xdr:colOff>
      <xdr:row>6</xdr:row>
      <xdr:rowOff>85725</xdr:rowOff>
    </xdr:from>
    <xdr:to>
      <xdr:col>11</xdr:col>
      <xdr:colOff>572300</xdr:colOff>
      <xdr:row>8</xdr:row>
      <xdr:rowOff>94903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857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29</xdr:row>
      <xdr:rowOff>123825</xdr:rowOff>
    </xdr:from>
    <xdr:to>
      <xdr:col>2</xdr:col>
      <xdr:colOff>524675</xdr:colOff>
      <xdr:row>31</xdr:row>
      <xdr:rowOff>133003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8002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603250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534200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15150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 fLocksWithSheet="0"/>
  </xdr:twoCellAnchor>
  <xdr:twoCellAnchor>
    <xdr:from>
      <xdr:col>6</xdr:col>
      <xdr:colOff>9525</xdr:colOff>
      <xdr:row>9</xdr:row>
      <xdr:rowOff>9525</xdr:rowOff>
    </xdr:from>
    <xdr:to>
      <xdr:col>16</xdr:col>
      <xdr:colOff>571500</xdr:colOff>
      <xdr:row>29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2298700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298450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590550</xdr:colOff>
      <xdr:row>0</xdr:row>
      <xdr:rowOff>142875</xdr:rowOff>
    </xdr:from>
    <xdr:to>
      <xdr:col>8</xdr:col>
      <xdr:colOff>560070</xdr:colOff>
      <xdr:row>3</xdr:row>
      <xdr:rowOff>150495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1428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390525</xdr:colOff>
      <xdr:row>13</xdr:row>
      <xdr:rowOff>0</xdr:rowOff>
    </xdr:from>
    <xdr:to>
      <xdr:col>17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95250</xdr:colOff>
      <xdr:row>8</xdr:row>
      <xdr:rowOff>0</xdr:rowOff>
    </xdr:from>
    <xdr:to>
      <xdr:col>13</xdr:col>
      <xdr:colOff>534200</xdr:colOff>
      <xdr:row>10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5600" y="6477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11</xdr:row>
      <xdr:rowOff>0</xdr:rowOff>
    </xdr:from>
    <xdr:to>
      <xdr:col>10</xdr:col>
      <xdr:colOff>524675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214308</xdr:colOff>
      <xdr:row>6</xdr:row>
      <xdr:rowOff>23812</xdr:rowOff>
    </xdr:from>
    <xdr:to>
      <xdr:col>11</xdr:col>
      <xdr:colOff>653258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10683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238121</xdr:colOff>
      <xdr:row>6</xdr:row>
      <xdr:rowOff>23812</xdr:rowOff>
    </xdr:from>
    <xdr:to>
      <xdr:col>11</xdr:col>
      <xdr:colOff>677071</xdr:colOff>
      <xdr:row>7</xdr:row>
      <xdr:rowOff>152053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55902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60656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12</xdr:row>
      <xdr:rowOff>95250</xdr:rowOff>
    </xdr:from>
    <xdr:to>
      <xdr:col>2</xdr:col>
      <xdr:colOff>229400</xdr:colOff>
      <xdr:row>14</xdr:row>
      <xdr:rowOff>104428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misioni%20fakt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vFaktor"/>
      <sheetName val="Goriva"/>
    </sheetNames>
    <sheetDataSet>
      <sheetData sheetId="0"/>
      <sheetData sheetId="1">
        <row r="9">
          <cell r="B9" t="str">
            <v>Lignit</v>
          </cell>
        </row>
        <row r="10">
          <cell r="B10" t="str">
            <v>Mrki ugalj</v>
          </cell>
          <cell r="C10">
            <v>0.33</v>
          </cell>
        </row>
        <row r="11">
          <cell r="B11" t="str">
            <v>Kameni ugalj</v>
          </cell>
          <cell r="C11">
            <v>0.34</v>
          </cell>
        </row>
        <row r="12">
          <cell r="B12" t="str">
            <v>Lož ulje</v>
          </cell>
          <cell r="C12">
            <v>0.27</v>
          </cell>
        </row>
        <row r="13">
          <cell r="B13" t="str">
            <v>Mazut</v>
          </cell>
          <cell r="C13">
            <v>0.28000000000000003</v>
          </cell>
        </row>
        <row r="14">
          <cell r="B14" t="str">
            <v>Prirodni gas</v>
          </cell>
          <cell r="C14">
            <v>0.2</v>
          </cell>
        </row>
        <row r="15">
          <cell r="B15" t="str">
            <v>TNG</v>
          </cell>
          <cell r="C15">
            <v>0.22</v>
          </cell>
        </row>
        <row r="16">
          <cell r="B16" t="str">
            <v>Drvo (nesertifikovano)</v>
          </cell>
          <cell r="C16">
            <v>0.49399999999999999</v>
          </cell>
        </row>
        <row r="17">
          <cell r="B17" t="str">
            <v>Drvo sertifikovano</v>
          </cell>
          <cell r="C17">
            <v>0</v>
          </cell>
        </row>
        <row r="18">
          <cell r="B18" t="str">
            <v>Suncokret ljuska</v>
          </cell>
          <cell r="C18">
            <v>0.04</v>
          </cell>
        </row>
        <row r="19">
          <cell r="B19" t="str">
            <v>Toplota (kupljena)</v>
          </cell>
          <cell r="C19">
            <v>0.28999999999999998</v>
          </cell>
        </row>
        <row r="20">
          <cell r="B20" t="str">
            <v>Električna energija</v>
          </cell>
          <cell r="C20">
            <v>0.8</v>
          </cell>
        </row>
        <row r="21">
          <cell r="B21" t="str">
            <v>Električna energija OIE</v>
          </cell>
          <cell r="C21">
            <v>0</v>
          </cell>
        </row>
        <row r="22">
          <cell r="B22" t="str">
            <v>Gorivo</v>
          </cell>
        </row>
        <row r="23">
          <cell r="B23" t="str">
            <v>Toplota iz DH</v>
          </cell>
          <cell r="C23">
            <v>0.22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R24"/>
  <sheetViews>
    <sheetView workbookViewId="0"/>
  </sheetViews>
  <sheetFormatPr defaultRowHeight="15" x14ac:dyDescent="0.25"/>
  <sheetData>
    <row r="2" spans="2:18" ht="16.5" x14ac:dyDescent="0.35">
      <c r="F2" s="64" t="s">
        <v>196</v>
      </c>
      <c r="G2" s="64"/>
      <c r="H2" s="64"/>
      <c r="I2" s="64"/>
    </row>
    <row r="7" spans="2:18" x14ac:dyDescent="0.25">
      <c r="B7" s="65" t="s">
        <v>0</v>
      </c>
      <c r="C7" s="65"/>
      <c r="D7" s="65"/>
      <c r="E7" s="65"/>
      <c r="F7" s="65"/>
      <c r="G7" s="65"/>
      <c r="H7" s="65"/>
      <c r="I7" s="65"/>
      <c r="J7" s="65"/>
      <c r="K7" s="65"/>
    </row>
    <row r="8" spans="2:18" x14ac:dyDescent="0.25">
      <c r="B8" s="65"/>
      <c r="C8" s="65"/>
      <c r="D8" s="65"/>
      <c r="E8" s="65"/>
      <c r="F8" s="65"/>
      <c r="G8" s="65"/>
      <c r="H8" s="65"/>
      <c r="I8" s="65"/>
      <c r="J8" s="65"/>
      <c r="K8" s="65"/>
    </row>
    <row r="9" spans="2:18" x14ac:dyDescent="0.25">
      <c r="B9" s="65"/>
      <c r="C9" s="65"/>
      <c r="D9" s="65"/>
      <c r="E9" s="65"/>
      <c r="F9" s="65"/>
      <c r="G9" s="65"/>
      <c r="H9" s="65"/>
      <c r="I9" s="65"/>
      <c r="J9" s="65"/>
      <c r="K9" s="65"/>
      <c r="M9" s="66" t="s">
        <v>2</v>
      </c>
      <c r="N9" s="66"/>
      <c r="O9" s="66"/>
      <c r="P9" s="66"/>
      <c r="Q9" s="66"/>
      <c r="R9" s="66"/>
    </row>
    <row r="10" spans="2:18" x14ac:dyDescent="0.25">
      <c r="B10" s="65"/>
      <c r="C10" s="65"/>
      <c r="D10" s="65"/>
      <c r="E10" s="65"/>
      <c r="F10" s="65"/>
      <c r="G10" s="65"/>
      <c r="H10" s="65"/>
      <c r="I10" s="65"/>
      <c r="J10" s="65"/>
      <c r="K10" s="65"/>
      <c r="M10" s="66"/>
      <c r="N10" s="66"/>
      <c r="O10" s="66"/>
      <c r="P10" s="66"/>
      <c r="Q10" s="66"/>
      <c r="R10" s="66"/>
    </row>
    <row r="11" spans="2:18" x14ac:dyDescent="0.25">
      <c r="B11" s="65"/>
      <c r="C11" s="65"/>
      <c r="D11" s="65"/>
      <c r="E11" s="65"/>
      <c r="F11" s="65"/>
      <c r="G11" s="65"/>
      <c r="H11" s="65"/>
      <c r="I11" s="65"/>
      <c r="J11" s="65"/>
      <c r="K11" s="65"/>
    </row>
    <row r="12" spans="2:18" x14ac:dyDescent="0.25">
      <c r="B12" s="65"/>
      <c r="C12" s="65"/>
      <c r="D12" s="65"/>
      <c r="E12" s="65"/>
      <c r="F12" s="65"/>
      <c r="G12" s="65"/>
      <c r="H12" s="65"/>
      <c r="I12" s="65"/>
      <c r="J12" s="65"/>
      <c r="K12" s="65"/>
      <c r="M12" s="67" t="s">
        <v>38</v>
      </c>
      <c r="N12" s="67"/>
      <c r="O12" s="67"/>
      <c r="P12" s="67"/>
      <c r="Q12" s="67"/>
      <c r="R12" s="67"/>
    </row>
    <row r="13" spans="2:18" x14ac:dyDescent="0.25">
      <c r="B13" s="65"/>
      <c r="C13" s="65"/>
      <c r="D13" s="65"/>
      <c r="E13" s="65"/>
      <c r="F13" s="65"/>
      <c r="G13" s="65"/>
      <c r="H13" s="65"/>
      <c r="I13" s="65"/>
      <c r="J13" s="65"/>
      <c r="K13" s="65"/>
    </row>
    <row r="14" spans="2:18" x14ac:dyDescent="0.25">
      <c r="B14" s="65"/>
      <c r="C14" s="65"/>
      <c r="D14" s="65"/>
      <c r="E14" s="65"/>
      <c r="F14" s="65"/>
      <c r="G14" s="65"/>
      <c r="H14" s="65"/>
      <c r="I14" s="65"/>
      <c r="J14" s="65"/>
      <c r="K14" s="65"/>
      <c r="M14" s="68" t="s">
        <v>138</v>
      </c>
      <c r="N14" s="68"/>
      <c r="Q14" s="69" t="s">
        <v>139</v>
      </c>
      <c r="R14" s="69"/>
    </row>
    <row r="15" spans="2:18" x14ac:dyDescent="0.25">
      <c r="B15" s="65"/>
      <c r="C15" s="65"/>
      <c r="D15" s="65"/>
      <c r="E15" s="65"/>
      <c r="F15" s="65"/>
      <c r="G15" s="65"/>
      <c r="H15" s="65"/>
      <c r="I15" s="65"/>
      <c r="J15" s="65"/>
      <c r="K15" s="65"/>
      <c r="M15" s="68"/>
      <c r="N15" s="68"/>
      <c r="Q15" s="69"/>
      <c r="R15" s="69"/>
    </row>
    <row r="16" spans="2:18" x14ac:dyDescent="0.25">
      <c r="B16" s="65"/>
      <c r="C16" s="65"/>
      <c r="D16" s="65"/>
      <c r="E16" s="65"/>
      <c r="F16" s="65"/>
      <c r="G16" s="65"/>
      <c r="H16" s="65"/>
      <c r="I16" s="65"/>
      <c r="J16" s="65"/>
      <c r="K16" s="65"/>
    </row>
    <row r="17" spans="2:11" x14ac:dyDescent="0.25">
      <c r="B17" s="65"/>
      <c r="C17" s="65"/>
      <c r="D17" s="65"/>
      <c r="E17" s="65"/>
      <c r="F17" s="65"/>
      <c r="G17" s="65"/>
      <c r="H17" s="65"/>
      <c r="I17" s="65"/>
      <c r="J17" s="65"/>
      <c r="K17" s="65"/>
    </row>
    <row r="18" spans="2:11" x14ac:dyDescent="0.25">
      <c r="B18" s="65"/>
      <c r="C18" s="65"/>
      <c r="D18" s="65"/>
      <c r="E18" s="65"/>
      <c r="F18" s="65"/>
      <c r="G18" s="65"/>
      <c r="H18" s="65"/>
      <c r="I18" s="65"/>
      <c r="J18" s="65"/>
      <c r="K18" s="65"/>
    </row>
    <row r="19" spans="2:11" x14ac:dyDescent="0.25">
      <c r="B19" s="65"/>
      <c r="C19" s="65"/>
      <c r="D19" s="65"/>
      <c r="E19" s="65"/>
      <c r="F19" s="65"/>
      <c r="G19" s="65"/>
      <c r="H19" s="65"/>
      <c r="I19" s="65"/>
      <c r="J19" s="65"/>
      <c r="K19" s="65"/>
    </row>
    <row r="20" spans="2:11" x14ac:dyDescent="0.25">
      <c r="B20" s="65"/>
      <c r="C20" s="65"/>
      <c r="D20" s="65"/>
      <c r="E20" s="65"/>
      <c r="F20" s="65"/>
      <c r="G20" s="65"/>
      <c r="H20" s="65"/>
      <c r="I20" s="65"/>
      <c r="J20" s="65"/>
      <c r="K20" s="65"/>
    </row>
    <row r="21" spans="2:11" x14ac:dyDescent="0.25">
      <c r="B21" s="65"/>
      <c r="C21" s="65"/>
      <c r="D21" s="65"/>
      <c r="E21" s="65"/>
      <c r="F21" s="65"/>
      <c r="G21" s="65"/>
      <c r="H21" s="65"/>
      <c r="I21" s="65"/>
      <c r="J21" s="65"/>
      <c r="K21" s="65"/>
    </row>
    <row r="22" spans="2:11" x14ac:dyDescent="0.25">
      <c r="B22" s="65"/>
      <c r="C22" s="65"/>
      <c r="D22" s="65"/>
      <c r="E22" s="65"/>
      <c r="F22" s="65"/>
      <c r="G22" s="65"/>
      <c r="H22" s="65"/>
      <c r="I22" s="65"/>
      <c r="J22" s="65"/>
      <c r="K22" s="65"/>
    </row>
    <row r="23" spans="2:11" x14ac:dyDescent="0.25">
      <c r="B23" s="65"/>
      <c r="C23" s="65"/>
      <c r="D23" s="65"/>
      <c r="E23" s="65"/>
      <c r="F23" s="65"/>
      <c r="G23" s="65"/>
      <c r="H23" s="65"/>
      <c r="I23" s="65"/>
      <c r="J23" s="65"/>
      <c r="K23" s="65"/>
    </row>
    <row r="24" spans="2:11" x14ac:dyDescent="0.25">
      <c r="B24" s="65"/>
      <c r="C24" s="65"/>
      <c r="D24" s="65"/>
      <c r="E24" s="65"/>
      <c r="F24" s="65"/>
      <c r="G24" s="65"/>
      <c r="H24" s="65"/>
      <c r="I24" s="65"/>
      <c r="J24" s="65"/>
      <c r="K24" s="65"/>
    </row>
  </sheetData>
  <sheetProtection selectLockedCells="1"/>
  <mergeCells count="6">
    <mergeCell ref="F2:I2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22" sqref="D22"/>
    </sheetView>
  </sheetViews>
  <sheetFormatPr defaultRowHeight="15" x14ac:dyDescent="0.25"/>
  <sheetData>
    <row r="3" spans="1:9" ht="16.5" x14ac:dyDescent="0.35">
      <c r="F3" s="64" t="s">
        <v>196</v>
      </c>
      <c r="G3" s="64"/>
      <c r="H3" s="64"/>
      <c r="I3" s="64"/>
    </row>
    <row r="7" spans="1:9" ht="15" customHeight="1" x14ac:dyDescent="0.25">
      <c r="A7" s="66" t="s">
        <v>92</v>
      </c>
      <c r="B7" s="66"/>
      <c r="C7" s="66"/>
      <c r="D7" s="66"/>
    </row>
    <row r="8" spans="1:9" ht="15" customHeight="1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138</v>
      </c>
      <c r="B11" s="68"/>
      <c r="C11" s="69" t="s">
        <v>139</v>
      </c>
      <c r="D11" s="69"/>
    </row>
    <row r="12" spans="1:9" x14ac:dyDescent="0.25">
      <c r="A12" s="68"/>
      <c r="B12" s="68"/>
      <c r="C12" s="69"/>
      <c r="D12" s="69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0"/>
  <sheetViews>
    <sheetView workbookViewId="0">
      <selection activeCell="K2" sqref="K2"/>
    </sheetView>
  </sheetViews>
  <sheetFormatPr defaultRowHeight="15" x14ac:dyDescent="0.25"/>
  <cols>
    <col min="6" max="6" width="11.5703125" customWidth="1"/>
    <col min="7" max="7" width="10.140625" customWidth="1"/>
    <col min="8" max="8" width="10.42578125" customWidth="1"/>
    <col min="9" max="9" width="10.85546875" customWidth="1"/>
    <col min="10" max="10" width="10.42578125" customWidth="1"/>
    <col min="11" max="11" width="10" customWidth="1"/>
    <col min="12" max="12" width="10.7109375" customWidth="1"/>
    <col min="13" max="13" width="10.5703125" customWidth="1"/>
    <col min="14" max="14" width="10.28515625" customWidth="1"/>
    <col min="15" max="16" width="10.85546875" customWidth="1"/>
    <col min="17" max="17" width="10.42578125" customWidth="1"/>
  </cols>
  <sheetData>
    <row r="3" spans="1:28" ht="16.5" x14ac:dyDescent="0.35">
      <c r="F3" s="64" t="s">
        <v>196</v>
      </c>
      <c r="G3" s="64"/>
      <c r="H3" s="64"/>
      <c r="I3" s="64"/>
    </row>
    <row r="7" spans="1:28" x14ac:dyDescent="0.25">
      <c r="A7" s="80" t="s">
        <v>93</v>
      </c>
      <c r="B7" s="80"/>
      <c r="C7" s="80"/>
      <c r="D7" s="80"/>
      <c r="I7" s="68" t="s">
        <v>138</v>
      </c>
      <c r="J7" s="68"/>
      <c r="N7" s="69" t="s">
        <v>139</v>
      </c>
      <c r="O7" s="69"/>
    </row>
    <row r="8" spans="1:28" x14ac:dyDescent="0.25">
      <c r="A8" s="80"/>
      <c r="B8" s="80"/>
      <c r="C8" s="80"/>
      <c r="D8" s="80"/>
      <c r="I8" s="68"/>
      <c r="J8" s="68"/>
      <c r="N8" s="69"/>
      <c r="O8" s="69"/>
    </row>
    <row r="10" spans="1:28" x14ac:dyDescent="0.25">
      <c r="A10" s="70" t="s">
        <v>94</v>
      </c>
      <c r="B10" s="70"/>
      <c r="C10" s="70"/>
      <c r="D10" s="70"/>
      <c r="E10" s="14"/>
      <c r="F10" s="14">
        <f>IF(E10&lt;UnosPodataka!$M$26,E10+1,"")</f>
        <v>1</v>
      </c>
      <c r="G10" s="14">
        <f>IF(F10&lt;UnosPodataka!$M$26,F10+1,"")</f>
        <v>2</v>
      </c>
      <c r="H10" s="14">
        <f>IF(G10&lt;UnosPodataka!$M$26,G10+1,"")</f>
        <v>3</v>
      </c>
      <c r="I10" s="14">
        <f>IF(H10&lt;UnosPodataka!$M$26,H10+1,"")</f>
        <v>4</v>
      </c>
      <c r="J10" s="14">
        <f>IF(I10&lt;UnosPodataka!$M$26,I10+1,"")</f>
        <v>5</v>
      </c>
      <c r="K10" s="14">
        <f>IF(J10&lt;UnosPodataka!$M$26,J10+1,"")</f>
        <v>6</v>
      </c>
      <c r="L10" s="14">
        <f>IF(K10&lt;UnosPodataka!$M$26,K10+1,"")</f>
        <v>7</v>
      </c>
      <c r="M10" s="14">
        <f>IF(L10&lt;UnosPodataka!$M$26,L10+1,"")</f>
        <v>8</v>
      </c>
      <c r="N10" s="14">
        <f>IF(M10&lt;UnosPodataka!$M$26,M10+1,"")</f>
        <v>9</v>
      </c>
      <c r="O10" s="14">
        <f>IF(N10&lt;UnosPodataka!$M$26,N10+1,"")</f>
        <v>10</v>
      </c>
      <c r="P10" s="14">
        <f>IF(O10&lt;UnosPodataka!$M$26,O10+1,"")</f>
        <v>11</v>
      </c>
      <c r="Q10" s="14">
        <f>IF(P10&lt;UnosPodataka!$M$26,P10+1,"")</f>
        <v>12</v>
      </c>
      <c r="R10" s="14">
        <f>IF(Q10&lt;UnosPodataka!$M$26,Q10+1,"")</f>
        <v>13</v>
      </c>
      <c r="S10" s="14">
        <f>IF(R10&lt;UnosPodataka!$M$26,R10+1,"")</f>
        <v>14</v>
      </c>
      <c r="T10" s="14">
        <f>IF(S10&lt;UnosPodataka!$M$26,S10+1,"")</f>
        <v>15</v>
      </c>
      <c r="U10" s="14">
        <f>IF(T10&lt;UnosPodataka!$M$26,T10+1,"")</f>
        <v>16</v>
      </c>
      <c r="V10" s="14">
        <f>IF(U10&lt;UnosPodataka!$M$26,U10+1,"")</f>
        <v>17</v>
      </c>
      <c r="W10" s="14">
        <f>IF(V10&lt;UnosPodataka!$M$26,V10+1,"")</f>
        <v>18</v>
      </c>
      <c r="X10" s="14">
        <f>IF(W10&lt;UnosPodataka!$M$26,W10+1,"")</f>
        <v>19</v>
      </c>
      <c r="Y10" s="14">
        <f>IF(X10&lt;UnosPodataka!$M$26,X10+1,"")</f>
        <v>20</v>
      </c>
      <c r="Z10" s="15"/>
      <c r="AA10" s="15"/>
      <c r="AB10" s="15"/>
    </row>
    <row r="12" spans="1:28" x14ac:dyDescent="0.25">
      <c r="A12" s="74" t="s">
        <v>95</v>
      </c>
      <c r="B12" s="74"/>
      <c r="C12" s="74"/>
      <c r="D12" s="74"/>
      <c r="E12" s="2"/>
      <c r="F12" s="2">
        <f>Investment</f>
        <v>1248000</v>
      </c>
    </row>
    <row r="13" spans="1:28" x14ac:dyDescent="0.25">
      <c r="A13" s="74" t="s">
        <v>96</v>
      </c>
      <c r="B13" s="74"/>
      <c r="C13" s="74"/>
      <c r="D13" s="74"/>
      <c r="F13" s="2">
        <f>IF(F10&lt;&gt;"",-(FinaIndicators!F29+FinaIndicators!F34),"")</f>
        <v>352423.5808299862</v>
      </c>
      <c r="G13" s="2">
        <f>IF(G10&lt;&gt;"",-(FinaIndicators!G29+FinaIndicators!G34),"")</f>
        <v>351348.6315572749</v>
      </c>
      <c r="H13" s="2">
        <f>IF(H10&lt;&gt;"",-(FinaIndicators!H29+FinaIndicators!H34),"")</f>
        <v>350144.68837183825</v>
      </c>
      <c r="I13" s="2">
        <f>IF(I10&lt;&gt;"",-(FinaIndicators!I29+FinaIndicators!I34),"")</f>
        <v>348796.27200414916</v>
      </c>
      <c r="J13" s="2">
        <f>IF(J10&lt;&gt;"",-(FinaIndicators!J29+FinaIndicators!J34),"")</f>
        <v>347286.04567233747</v>
      </c>
      <c r="K13" s="2">
        <f>IF(K10&lt;&gt;"",-(FinaIndicators!K29+FinaIndicators!K34),"")</f>
        <v>345594.59218070831</v>
      </c>
      <c r="L13" s="2">
        <f>IF(L10&lt;&gt;"",-(FinaIndicators!L29+FinaIndicators!L34),"")</f>
        <v>343700.16427008365</v>
      </c>
      <c r="M13" s="2">
        <f>IF(M10&lt;&gt;"",-(FinaIndicators!M29+FinaIndicators!M34),"")</f>
        <v>341578.40501018404</v>
      </c>
      <c r="N13" s="2">
        <f>IF(N10&lt;&gt;"",-(FinaIndicators!N29+FinaIndicators!N34),"")</f>
        <v>339202.03463909647</v>
      </c>
      <c r="O13" s="2">
        <f>IF(O10&lt;&gt;"",-(FinaIndicators!O29+FinaIndicators!O34),"")</f>
        <v>336540.4998234784</v>
      </c>
      <c r="P13" s="2">
        <f>IF(P10&lt;&gt;"",-(FinaIndicators!P29+FinaIndicators!P34),"")</f>
        <v>148080.17679046962</v>
      </c>
      <c r="Q13" s="2">
        <f>IF(Q10&lt;&gt;"",-(FinaIndicators!Q29+FinaIndicators!Q34),"")</f>
        <v>148080.17679046962</v>
      </c>
      <c r="R13" s="2">
        <f>IF(R10&lt;&gt;"",-(FinaIndicators!R29+FinaIndicators!R34),"")</f>
        <v>148080.17679046962</v>
      </c>
      <c r="S13" s="2">
        <f>IF(S10&lt;&gt;"",-(FinaIndicators!S29+FinaIndicators!S34),"")</f>
        <v>148080.17679046962</v>
      </c>
      <c r="T13" s="2">
        <f>IF(T10&lt;&gt;"",-(FinaIndicators!T29+FinaIndicators!T34),"")</f>
        <v>148080.17679046962</v>
      </c>
      <c r="U13" s="2">
        <f>IF(U10&lt;&gt;"",-(FinaIndicators!U29+FinaIndicators!U34),"")</f>
        <v>148080.17679046962</v>
      </c>
      <c r="V13" s="2">
        <f>IF(V10&lt;&gt;"",-(FinaIndicators!V29+FinaIndicators!V34),"")</f>
        <v>148080.17679046962</v>
      </c>
      <c r="W13" s="2">
        <f>IF(W10&lt;&gt;"",-(FinaIndicators!W29+FinaIndicators!W34),"")</f>
        <v>148080.17679046962</v>
      </c>
      <c r="X13" s="2">
        <f>IF(X10&lt;&gt;"",-(FinaIndicators!X29+FinaIndicators!X34),"")</f>
        <v>148080.17679046962</v>
      </c>
      <c r="Y13" s="2">
        <f>IF(Y10&lt;&gt;"",-(FinaIndicators!Y29+FinaIndicators!Y34),"")</f>
        <v>148080.17679046962</v>
      </c>
    </row>
    <row r="14" spans="1:28" x14ac:dyDescent="0.25">
      <c r="A14" s="74" t="s">
        <v>97</v>
      </c>
      <c r="B14" s="74"/>
      <c r="C14" s="74"/>
      <c r="D14" s="74"/>
      <c r="E14" s="2"/>
      <c r="F14" s="2">
        <f t="shared" ref="F14:Y14" si="0">IF(F10&lt;&gt;"",F12+F13,"")</f>
        <v>1600423.5808299861</v>
      </c>
      <c r="G14" s="2">
        <f t="shared" si="0"/>
        <v>351348.6315572749</v>
      </c>
      <c r="H14" s="2">
        <f t="shared" si="0"/>
        <v>350144.68837183825</v>
      </c>
      <c r="I14" s="2">
        <f t="shared" si="0"/>
        <v>348796.27200414916</v>
      </c>
      <c r="J14" s="2">
        <f t="shared" si="0"/>
        <v>347286.04567233747</v>
      </c>
      <c r="K14" s="2">
        <f t="shared" si="0"/>
        <v>345594.59218070831</v>
      </c>
      <c r="L14" s="2">
        <f t="shared" si="0"/>
        <v>343700.16427008365</v>
      </c>
      <c r="M14" s="2">
        <f t="shared" si="0"/>
        <v>341578.40501018404</v>
      </c>
      <c r="N14" s="2">
        <f t="shared" si="0"/>
        <v>339202.03463909647</v>
      </c>
      <c r="O14" s="2">
        <f t="shared" si="0"/>
        <v>336540.4998234784</v>
      </c>
      <c r="P14" s="2">
        <f t="shared" si="0"/>
        <v>148080.17679046962</v>
      </c>
      <c r="Q14" s="2">
        <f t="shared" si="0"/>
        <v>148080.17679046962</v>
      </c>
      <c r="R14" s="2">
        <f t="shared" si="0"/>
        <v>148080.17679046962</v>
      </c>
      <c r="S14" s="2">
        <f t="shared" si="0"/>
        <v>148080.17679046962</v>
      </c>
      <c r="T14" s="2">
        <f t="shared" si="0"/>
        <v>148080.17679046962</v>
      </c>
      <c r="U14" s="2">
        <f t="shared" si="0"/>
        <v>148080.17679046962</v>
      </c>
      <c r="V14" s="2">
        <f t="shared" si="0"/>
        <v>148080.17679046962</v>
      </c>
      <c r="W14" s="2">
        <f t="shared" si="0"/>
        <v>148080.17679046962</v>
      </c>
      <c r="X14" s="2">
        <f t="shared" si="0"/>
        <v>148080.17679046962</v>
      </c>
      <c r="Y14" s="2">
        <f t="shared" si="0"/>
        <v>148080.17679046962</v>
      </c>
    </row>
    <row r="15" spans="1:28" x14ac:dyDescent="0.25">
      <c r="A15" s="76"/>
      <c r="B15" s="76"/>
      <c r="C15" s="76"/>
      <c r="D15" s="76"/>
    </row>
    <row r="16" spans="1:28" x14ac:dyDescent="0.25">
      <c r="A16" s="74" t="s">
        <v>85</v>
      </c>
      <c r="B16" s="74"/>
      <c r="C16" s="74"/>
      <c r="D16" s="74"/>
      <c r="F16" s="2">
        <f>IF(F10&lt;&gt;"",FinaIndicators!F14,"")</f>
        <v>6451.6129032258068</v>
      </c>
      <c r="G16" s="2">
        <f>IF(G10&lt;&gt;"",FinaIndicators!G14,"")</f>
        <v>6451.6129032258068</v>
      </c>
      <c r="H16" s="2">
        <f>IF(H10&lt;&gt;"",FinaIndicators!H14,"")</f>
        <v>6451.6129032258068</v>
      </c>
      <c r="I16" s="2">
        <f>IF(I10&lt;&gt;"",FinaIndicators!I14,"")</f>
        <v>6451.6129032258068</v>
      </c>
      <c r="J16" s="2">
        <f>IF(J10&lt;&gt;"",FinaIndicators!J14,"")</f>
        <v>6451.6129032258068</v>
      </c>
      <c r="K16" s="2">
        <f>IF(K10&lt;&gt;"",FinaIndicators!K14,"")</f>
        <v>6451.6129032258068</v>
      </c>
      <c r="L16" s="2">
        <f>IF(L10&lt;&gt;"",FinaIndicators!L14,"")</f>
        <v>6451.6129032258068</v>
      </c>
      <c r="M16" s="2">
        <f>IF(M10&lt;&gt;"",FinaIndicators!M14,"")</f>
        <v>6451.6129032258068</v>
      </c>
      <c r="N16" s="2">
        <f>IF(N10&lt;&gt;"",FinaIndicators!N14,"")</f>
        <v>6451.6129032258068</v>
      </c>
      <c r="O16" s="2">
        <f>IF(O10&lt;&gt;"",FinaIndicators!O14,"")</f>
        <v>6451.6129032258068</v>
      </c>
      <c r="P16" s="2">
        <f>IF(P10&lt;&gt;"",FinaIndicators!P14,"")</f>
        <v>6451.6129032258068</v>
      </c>
      <c r="Q16" s="2">
        <f>IF(Q10&lt;&gt;"",FinaIndicators!Q14,"")</f>
        <v>6451.6129032258068</v>
      </c>
      <c r="R16" s="2">
        <f>IF(R10&lt;&gt;"",FinaIndicators!R14,"")</f>
        <v>6451.6129032258068</v>
      </c>
      <c r="S16" s="2">
        <f>IF(S10&lt;&gt;"",FinaIndicators!S14,"")</f>
        <v>6451.6129032258068</v>
      </c>
      <c r="T16" s="2">
        <f>IF(T10&lt;&gt;"",FinaIndicators!T14,"")</f>
        <v>6451.6129032258068</v>
      </c>
      <c r="U16" s="2">
        <f>IF(U10&lt;&gt;"",FinaIndicators!U14,"")</f>
        <v>6451.6129032258068</v>
      </c>
      <c r="V16" s="2">
        <f>IF(V10&lt;&gt;"",FinaIndicators!V14,"")</f>
        <v>6451.6129032258068</v>
      </c>
      <c r="W16" s="2">
        <f>IF(W10&lt;&gt;"",FinaIndicators!W14,"")</f>
        <v>6451.6129032258068</v>
      </c>
      <c r="X16" s="2">
        <f>IF(X10&lt;&gt;"",FinaIndicators!X14,"")</f>
        <v>6451.6129032258068</v>
      </c>
      <c r="Y16" s="2">
        <f>IF(Y10&lt;&gt;"",FinaIndicators!Y14,"")</f>
        <v>6451.6129032258068</v>
      </c>
    </row>
    <row r="17" spans="1:25" ht="18" x14ac:dyDescent="0.35">
      <c r="A17" s="74" t="s">
        <v>98</v>
      </c>
      <c r="B17" s="74"/>
      <c r="C17" s="74"/>
      <c r="D17" s="74"/>
      <c r="F17" s="2">
        <f>IF(F10&lt;&gt;"",F16*UnosPodataka!$M$25,"")</f>
        <v>111.57495256166985</v>
      </c>
      <c r="G17" s="2">
        <f>IF(G10&lt;&gt;"",G16*UnosPodataka!$M$25,"")</f>
        <v>111.57495256166985</v>
      </c>
      <c r="H17" s="2">
        <f>IF(H10&lt;&gt;"",H16*UnosPodataka!$M$25,"")</f>
        <v>111.57495256166985</v>
      </c>
      <c r="I17" s="2">
        <f>IF(I10&lt;&gt;"",I16*UnosPodataka!$M$25,"")</f>
        <v>111.57495256166985</v>
      </c>
      <c r="J17" s="2">
        <f>IF(J10&lt;&gt;"",J16*UnosPodataka!$M$25,"")</f>
        <v>111.57495256166985</v>
      </c>
      <c r="K17" s="2">
        <f>IF(K10&lt;&gt;"",K16*UnosPodataka!$M$25,"")</f>
        <v>111.57495256166985</v>
      </c>
      <c r="L17" s="2">
        <f>IF(L10&lt;&gt;"",L16*UnosPodataka!$M$25,"")</f>
        <v>111.57495256166985</v>
      </c>
      <c r="M17" s="2">
        <f>IF(M10&lt;&gt;"",M16*UnosPodataka!$M$25,"")</f>
        <v>111.57495256166985</v>
      </c>
      <c r="N17" s="2">
        <f>IF(N10&lt;&gt;"",N16*UnosPodataka!$M$25,"")</f>
        <v>111.57495256166985</v>
      </c>
      <c r="O17" s="2">
        <f>IF(O10&lt;&gt;"",O16*UnosPodataka!$M$25,"")</f>
        <v>111.57495256166985</v>
      </c>
      <c r="P17" s="2">
        <f>IF(P10&lt;&gt;"",P16*UnosPodataka!$M$25,"")</f>
        <v>111.57495256166985</v>
      </c>
      <c r="Q17" s="2">
        <f>IF(Q10&lt;&gt;"",Q16*UnosPodataka!$M$25,"")</f>
        <v>111.57495256166985</v>
      </c>
      <c r="R17" s="2">
        <f>IF(R10&lt;&gt;"",R16*UnosPodataka!$M$25,"")</f>
        <v>111.57495256166985</v>
      </c>
      <c r="S17" s="2">
        <f>IF(S10&lt;&gt;"",S16*UnosPodataka!$M$25,"")</f>
        <v>111.57495256166985</v>
      </c>
      <c r="T17" s="2">
        <f>IF(T10&lt;&gt;"",T16*UnosPodataka!$M$25,"")</f>
        <v>111.57495256166985</v>
      </c>
      <c r="U17" s="2">
        <f>IF(U10&lt;&gt;"",U16*UnosPodataka!$M$25,"")</f>
        <v>111.57495256166985</v>
      </c>
      <c r="V17" s="2">
        <f>IF(V10&lt;&gt;"",V16*UnosPodataka!$M$25,"")</f>
        <v>111.57495256166985</v>
      </c>
      <c r="W17" s="2">
        <f>IF(W10&lt;&gt;"",W16*UnosPodataka!$M$25,"")</f>
        <v>111.57495256166985</v>
      </c>
      <c r="X17" s="2">
        <f>IF(X10&lt;&gt;"",X16*UnosPodataka!$M$25,"")</f>
        <v>111.57495256166985</v>
      </c>
      <c r="Y17" s="2">
        <f>IF(Y10&lt;&gt;"",Y16*UnosPodataka!$M$25,"")</f>
        <v>111.57495256166985</v>
      </c>
    </row>
    <row r="19" spans="1:25" x14ac:dyDescent="0.25">
      <c r="A19" s="70" t="s">
        <v>28</v>
      </c>
      <c r="B19" s="70"/>
      <c r="C19" s="70"/>
      <c r="D19" s="70"/>
      <c r="E19" s="2">
        <f>NPV(UnosPodataka!M20,LCoEE!F14:Y14)/NPV(UnosPodataka!M20,LCoEE!F16:Y16)</f>
        <v>58.596542744050048</v>
      </c>
    </row>
    <row r="20" spans="1:25" ht="18" x14ac:dyDescent="0.35">
      <c r="A20" s="70" t="s">
        <v>29</v>
      </c>
      <c r="B20" s="70"/>
      <c r="C20" s="70"/>
      <c r="D20" s="70"/>
      <c r="E20" s="2">
        <f>NPV(UnosPodataka!M20,LCoEE!F14:Y14)/NPV(UnosPodataka!M20,LCoEE!F17:Y17)</f>
        <v>3388.2354647920115</v>
      </c>
    </row>
  </sheetData>
  <sheetProtection selectLockedCells="1"/>
  <mergeCells count="13">
    <mergeCell ref="F3:I3"/>
    <mergeCell ref="I7:J8"/>
    <mergeCell ref="N7:O8"/>
    <mergeCell ref="A16:D16"/>
    <mergeCell ref="A17:D17"/>
    <mergeCell ref="A19:D19"/>
    <mergeCell ref="A20:D20"/>
    <mergeCell ref="A7:D8"/>
    <mergeCell ref="A10:D10"/>
    <mergeCell ref="A12:D12"/>
    <mergeCell ref="A13:D13"/>
    <mergeCell ref="A14:D14"/>
    <mergeCell ref="A15:D15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5"/>
  <sheetViews>
    <sheetView topLeftCell="A3" workbookViewId="0">
      <selection activeCell="H28" sqref="H28"/>
    </sheetView>
  </sheetViews>
  <sheetFormatPr defaultRowHeight="15" x14ac:dyDescent="0.25"/>
  <cols>
    <col min="1" max="1" width="11.85546875" customWidth="1"/>
    <col min="2" max="2" width="13.5703125" customWidth="1"/>
    <col min="4" max="4" width="13.140625" customWidth="1"/>
    <col min="5" max="5" width="10.42578125" customWidth="1"/>
  </cols>
  <sheetData>
    <row r="3" spans="1:8" ht="16.5" x14ac:dyDescent="0.35">
      <c r="E3" s="64" t="s">
        <v>196</v>
      </c>
      <c r="F3" s="64"/>
      <c r="G3" s="64"/>
      <c r="H3" s="64"/>
    </row>
    <row r="7" spans="1:8" ht="21" x14ac:dyDescent="0.35">
      <c r="A7" s="72" t="s">
        <v>99</v>
      </c>
      <c r="B7" s="72"/>
      <c r="C7" s="72"/>
      <c r="D7" s="72"/>
    </row>
    <row r="9" spans="1:8" ht="15.75" thickBot="1" x14ac:dyDescent="0.3"/>
    <row r="10" spans="1:8" ht="15.75" thickBot="1" x14ac:dyDescent="0.3">
      <c r="B10" s="49" t="s">
        <v>187</v>
      </c>
      <c r="C10" s="50"/>
      <c r="D10" s="49" t="s">
        <v>188</v>
      </c>
      <c r="E10" s="50"/>
    </row>
    <row r="11" spans="1:8" ht="15.75" thickBot="1" x14ac:dyDescent="0.3">
      <c r="B11" s="51" t="s">
        <v>189</v>
      </c>
      <c r="C11" s="51" t="s">
        <v>190</v>
      </c>
      <c r="D11" s="51" t="s">
        <v>189</v>
      </c>
      <c r="E11" s="51" t="s">
        <v>190</v>
      </c>
    </row>
    <row r="13" spans="1:8" x14ac:dyDescent="0.25">
      <c r="A13" s="52" t="s">
        <v>191</v>
      </c>
      <c r="B13" s="42">
        <v>-637790.09103165311</v>
      </c>
      <c r="C13" s="33">
        <v>4.0550990024973421E-2</v>
      </c>
      <c r="D13" s="42">
        <v>-134962.37489843729</v>
      </c>
      <c r="E13" s="6">
        <v>9.5348928392964716E-2</v>
      </c>
    </row>
    <row r="14" spans="1:8" x14ac:dyDescent="0.25">
      <c r="B14" s="42"/>
      <c r="D14" s="42"/>
    </row>
    <row r="15" spans="1:8" x14ac:dyDescent="0.25">
      <c r="A15" s="52" t="s">
        <v>193</v>
      </c>
      <c r="B15" s="42"/>
      <c r="D15" s="42"/>
    </row>
    <row r="16" spans="1:8" x14ac:dyDescent="0.25">
      <c r="A16" s="17">
        <v>0.1</v>
      </c>
      <c r="B16" s="42">
        <v>-467424.28870795568</v>
      </c>
      <c r="C16" s="33">
        <v>5.9498356524716911E-2</v>
      </c>
      <c r="D16" s="42">
        <v>-3421.4881532761024</v>
      </c>
      <c r="E16" s="6">
        <v>0.1097399059766333</v>
      </c>
    </row>
    <row r="17" spans="1:5" x14ac:dyDescent="0.25">
      <c r="A17" s="17">
        <v>-0.1</v>
      </c>
      <c r="B17" s="42">
        <v>-812754.24519885308</v>
      </c>
      <c r="C17" s="33">
        <v>2.0623558158046507E-2</v>
      </c>
      <c r="D17" s="42">
        <v>-266503.26164359774</v>
      </c>
      <c r="E17" s="6">
        <v>8.0767591165206598E-2</v>
      </c>
    </row>
    <row r="18" spans="1:5" x14ac:dyDescent="0.25">
      <c r="A18" s="5" t="s">
        <v>192</v>
      </c>
      <c r="B18" s="54">
        <v>0.39100000000000001</v>
      </c>
      <c r="C18" s="33"/>
      <c r="D18" s="54">
        <v>0.1026</v>
      </c>
      <c r="E18" s="6"/>
    </row>
    <row r="19" spans="1:5" x14ac:dyDescent="0.25">
      <c r="B19" s="42"/>
      <c r="D19" s="42"/>
    </row>
    <row r="20" spans="1:5" x14ac:dyDescent="0.25">
      <c r="A20" s="52" t="s">
        <v>195</v>
      </c>
      <c r="B20" s="42"/>
      <c r="D20" s="42"/>
    </row>
    <row r="21" spans="1:5" x14ac:dyDescent="0.25">
      <c r="A21" s="17">
        <v>0.1</v>
      </c>
      <c r="B21" s="42"/>
      <c r="C21" s="33"/>
      <c r="D21" s="42">
        <v>-84071.848855042117</v>
      </c>
      <c r="E21" s="6">
        <v>0.1009359810317354</v>
      </c>
    </row>
    <row r="22" spans="1:5" x14ac:dyDescent="0.25">
      <c r="A22" s="17">
        <v>-0.1</v>
      </c>
      <c r="B22" s="42"/>
      <c r="C22" s="33"/>
      <c r="D22" s="42">
        <v>-185852.90094183269</v>
      </c>
      <c r="E22" s="6">
        <v>8.9733525642057499E-2</v>
      </c>
    </row>
    <row r="23" spans="1:5" x14ac:dyDescent="0.25">
      <c r="A23" s="5" t="s">
        <v>192</v>
      </c>
      <c r="B23" s="54"/>
      <c r="C23" s="33"/>
      <c r="D23" s="54">
        <v>0.26519999999999999</v>
      </c>
      <c r="E23" s="6"/>
    </row>
    <row r="24" spans="1:5" x14ac:dyDescent="0.25">
      <c r="B24" s="53"/>
      <c r="C24" s="33"/>
      <c r="D24" s="53"/>
      <c r="E24" s="6"/>
    </row>
    <row r="25" spans="1:5" x14ac:dyDescent="0.25">
      <c r="A25" s="52" t="s">
        <v>194</v>
      </c>
      <c r="B25" s="53"/>
      <c r="C25" s="33"/>
      <c r="D25" s="53"/>
      <c r="E25" s="6"/>
    </row>
    <row r="26" spans="1:5" x14ac:dyDescent="0.25">
      <c r="A26" s="17">
        <v>0.1</v>
      </c>
      <c r="B26" s="42">
        <v>-888397.347646132</v>
      </c>
      <c r="C26" s="33">
        <v>2.2033777913254449E-2</v>
      </c>
      <c r="D26" s="42">
        <v>-346145.42943483446</v>
      </c>
      <c r="E26" s="6">
        <v>7.6196717429178218E-2</v>
      </c>
    </row>
    <row r="27" spans="1:5" x14ac:dyDescent="0.25">
      <c r="A27" s="17">
        <v>-0.1</v>
      </c>
      <c r="B27" s="42">
        <v>-389610.90485541162</v>
      </c>
      <c r="C27" s="33">
        <v>6.2299021201857485E-2</v>
      </c>
      <c r="D27" s="42">
        <v>79107.234259709687</v>
      </c>
      <c r="E27" s="6">
        <v>0.11851576622372528</v>
      </c>
    </row>
    <row r="28" spans="1:5" x14ac:dyDescent="0.25">
      <c r="A28" s="5" t="s">
        <v>192</v>
      </c>
      <c r="B28" s="33">
        <v>-0.26069999999999999</v>
      </c>
      <c r="C28" s="33"/>
      <c r="D28" s="33">
        <v>-6.3200000000000006E-2</v>
      </c>
      <c r="E28" s="6"/>
    </row>
    <row r="30" spans="1:5" x14ac:dyDescent="0.25">
      <c r="A30" s="68" t="s">
        <v>138</v>
      </c>
      <c r="B30" s="68"/>
      <c r="D30" s="69" t="s">
        <v>139</v>
      </c>
      <c r="E30" s="69"/>
    </row>
    <row r="31" spans="1:5" x14ac:dyDescent="0.25">
      <c r="A31" s="68"/>
      <c r="B31" s="68"/>
      <c r="D31" s="69"/>
      <c r="E31" s="69"/>
    </row>
    <row r="35" spans="2:5" hidden="1" x14ac:dyDescent="0.25">
      <c r="B35" s="42">
        <f>+FinaIndicators!$E$44</f>
        <v>47238.906265486257</v>
      </c>
      <c r="C35" s="33">
        <f>+FinaIndicators!$E$45</f>
        <v>0.11511839368828092</v>
      </c>
      <c r="D35" s="42">
        <f>+'FinInd+CO2'!$E$45</f>
        <v>20684.303941751492</v>
      </c>
      <c r="E35" s="6">
        <f>+'FinInd+CO2'!$E$46</f>
        <v>0.11236078814566097</v>
      </c>
    </row>
  </sheetData>
  <sheetProtection selectLockedCells="1" selectUnlockedCells="1"/>
  <mergeCells count="4">
    <mergeCell ref="A30:B31"/>
    <mergeCell ref="D30:E31"/>
    <mergeCell ref="A7:D7"/>
    <mergeCell ref="E3:H3"/>
  </mergeCells>
  <hyperlinks>
    <hyperlink ref="A30:B31" location="LCoEE!I1" display="NAZAD"/>
    <hyperlink ref="D30:E31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L2" sqref="L2"/>
    </sheetView>
  </sheetViews>
  <sheetFormatPr defaultRowHeight="15" x14ac:dyDescent="0.25"/>
  <cols>
    <col min="5" max="5" width="10.85546875" bestFit="1" customWidth="1"/>
  </cols>
  <sheetData>
    <row r="3" spans="1:25" ht="16.5" x14ac:dyDescent="0.35">
      <c r="F3" s="64" t="s">
        <v>196</v>
      </c>
      <c r="G3" s="64"/>
      <c r="H3" s="64"/>
      <c r="I3" s="64"/>
    </row>
    <row r="7" spans="1:25" x14ac:dyDescent="0.25">
      <c r="A7" s="66" t="s">
        <v>143</v>
      </c>
      <c r="B7" s="66"/>
      <c r="C7" s="66"/>
      <c r="D7" s="66"/>
      <c r="I7" s="68" t="s">
        <v>138</v>
      </c>
      <c r="J7" s="68"/>
      <c r="N7" s="69" t="s">
        <v>139</v>
      </c>
      <c r="O7" s="69"/>
    </row>
    <row r="8" spans="1:25" x14ac:dyDescent="0.25">
      <c r="A8" s="66"/>
      <c r="B8" s="66"/>
      <c r="C8" s="66"/>
      <c r="D8" s="66"/>
      <c r="I8" s="68"/>
      <c r="J8" s="68"/>
      <c r="N8" s="69"/>
      <c r="O8" s="69"/>
    </row>
    <row r="10" spans="1:25" x14ac:dyDescent="0.25">
      <c r="A10" s="70" t="s">
        <v>94</v>
      </c>
      <c r="B10" s="70"/>
      <c r="C10" s="70"/>
      <c r="D10" s="70"/>
      <c r="E10" s="14"/>
      <c r="F10" s="14">
        <f>IF(E10&lt;UnosPodataka!$M$26,E10+1,"")</f>
        <v>1</v>
      </c>
      <c r="G10" s="14">
        <f>IF(F10&lt;UnosPodataka!$M$26,F10+1,"")</f>
        <v>2</v>
      </c>
      <c r="H10" s="14">
        <f>IF(G10&lt;UnosPodataka!$M$26,G10+1,"")</f>
        <v>3</v>
      </c>
      <c r="I10" s="14">
        <f>IF(H10&lt;UnosPodataka!$M$26,H10+1,"")</f>
        <v>4</v>
      </c>
      <c r="J10" s="14">
        <f>IF(I10&lt;UnosPodataka!$M$26,I10+1,"")</f>
        <v>5</v>
      </c>
      <c r="K10" s="14">
        <f>IF(J10&lt;UnosPodataka!$M$26,J10+1,"")</f>
        <v>6</v>
      </c>
      <c r="L10" s="14">
        <f>IF(K10&lt;UnosPodataka!$M$26,K10+1,"")</f>
        <v>7</v>
      </c>
      <c r="M10" s="14">
        <f>IF(L10&lt;UnosPodataka!$M$26,L10+1,"")</f>
        <v>8</v>
      </c>
      <c r="N10" s="14">
        <f>IF(M10&lt;UnosPodataka!$M$26,M10+1,"")</f>
        <v>9</v>
      </c>
      <c r="O10" s="14">
        <f>IF(N10&lt;UnosPodataka!$M$26,N10+1,"")</f>
        <v>10</v>
      </c>
      <c r="P10" s="14">
        <f>IF(O10&lt;UnosPodataka!$M$26,O10+1,"")</f>
        <v>11</v>
      </c>
      <c r="Q10" s="14">
        <f>IF(P10&lt;UnosPodataka!$M$26,P10+1,"")</f>
        <v>12</v>
      </c>
      <c r="R10" s="14">
        <f>IF(Q10&lt;UnosPodataka!$M$26,Q10+1,"")</f>
        <v>13</v>
      </c>
      <c r="S10" s="14">
        <f>IF(R10&lt;UnosPodataka!$M$26,R10+1,"")</f>
        <v>14</v>
      </c>
      <c r="T10" s="14">
        <f>IF(S10&lt;UnosPodataka!$M$26,S10+1,"")</f>
        <v>15</v>
      </c>
      <c r="U10" s="14">
        <f>IF(T10&lt;UnosPodataka!$M$26,T10+1,"")</f>
        <v>16</v>
      </c>
      <c r="V10" s="14">
        <f>IF(U10&lt;UnosPodataka!$M$26,U10+1,"")</f>
        <v>17</v>
      </c>
      <c r="W10" s="14">
        <f>IF(V10&lt;UnosPodataka!$M$26,V10+1,"")</f>
        <v>18</v>
      </c>
      <c r="X10" s="14">
        <f>IF(W10&lt;UnosPodataka!$M$26,W10+1,"")</f>
        <v>19</v>
      </c>
      <c r="Y10" s="14">
        <f>IF(X10&lt;UnosPodataka!$M$26,X10+1,"")</f>
        <v>20</v>
      </c>
    </row>
    <row r="12" spans="1:25" x14ac:dyDescent="0.25">
      <c r="A12" s="74" t="s">
        <v>141</v>
      </c>
      <c r="B12" s="74"/>
      <c r="C12" s="74"/>
      <c r="D12" s="74"/>
      <c r="E12" s="32">
        <v>0</v>
      </c>
      <c r="F12" s="2">
        <f>-FinaIndicators!F28</f>
        <v>0</v>
      </c>
      <c r="G12" s="2">
        <f>-FinaIndicators!G28</f>
        <v>0</v>
      </c>
      <c r="H12" s="2">
        <f>-FinaIndicators!H28</f>
        <v>0</v>
      </c>
      <c r="I12" s="2">
        <f>-FinaIndicators!I28</f>
        <v>0</v>
      </c>
      <c r="J12" s="2">
        <f>-FinaIndicators!J28</f>
        <v>0</v>
      </c>
      <c r="K12" s="2">
        <f>-FinaIndicators!K28</f>
        <v>0</v>
      </c>
      <c r="L12" s="2">
        <f>-FinaIndicators!L28</f>
        <v>0</v>
      </c>
      <c r="M12" s="2">
        <f>-FinaIndicators!M28</f>
        <v>0</v>
      </c>
      <c r="N12" s="2">
        <f>-FinaIndicators!N28</f>
        <v>0</v>
      </c>
      <c r="O12" s="2">
        <f>-FinaIndicators!O28</f>
        <v>0</v>
      </c>
      <c r="P12" s="2">
        <f>-FinaIndicators!P28</f>
        <v>0</v>
      </c>
      <c r="Q12" s="2">
        <f>-FinaIndicators!Q28</f>
        <v>0</v>
      </c>
      <c r="R12" s="2">
        <f>-FinaIndicators!R28</f>
        <v>0</v>
      </c>
      <c r="S12" s="2">
        <f>-FinaIndicators!S28</f>
        <v>0</v>
      </c>
      <c r="T12" s="2">
        <f>-FinaIndicators!T28</f>
        <v>0</v>
      </c>
      <c r="U12" s="2">
        <f>-FinaIndicators!U28</f>
        <v>0</v>
      </c>
      <c r="V12" s="2">
        <f>-FinaIndicators!V28</f>
        <v>0</v>
      </c>
      <c r="W12" s="2">
        <f>-FinaIndicators!W28</f>
        <v>0</v>
      </c>
      <c r="X12" s="2">
        <f>-FinaIndicators!X28</f>
        <v>0</v>
      </c>
      <c r="Y12" s="2">
        <f>-FinaIndicators!Y28</f>
        <v>0</v>
      </c>
    </row>
    <row r="13" spans="1:25" x14ac:dyDescent="0.25">
      <c r="A13" s="74" t="s">
        <v>144</v>
      </c>
      <c r="B13" s="74"/>
      <c r="C13" s="74"/>
      <c r="D13" s="74"/>
      <c r="E13" s="32">
        <v>0</v>
      </c>
      <c r="F13" s="2">
        <f>IF(F10&lt;&gt;0, F12*(1+UnosPodataka!$M$20)^(-F10),"")</f>
        <v>0</v>
      </c>
      <c r="G13" s="2">
        <f>IF(G10&lt;&gt;0, G12*(1+UnosPodataka!$M$20)^(-G10),"")</f>
        <v>0</v>
      </c>
      <c r="H13" s="2">
        <f>IF(H10&lt;&gt;0, H12*(1+UnosPodataka!$M$20)^(-H10),"")</f>
        <v>0</v>
      </c>
      <c r="I13" s="2">
        <f>IF(I10&lt;&gt;0, I12*(1+UnosPodataka!$M$20)^(-I10),"")</f>
        <v>0</v>
      </c>
      <c r="J13" s="2">
        <f>IF(J10&lt;&gt;0, J12*(1+UnosPodataka!$M$20)^(-J10),"")</f>
        <v>0</v>
      </c>
      <c r="K13" s="2">
        <f>IF(K10&lt;&gt;0, K12*(1+UnosPodataka!$M$20)^(-K10),"")</f>
        <v>0</v>
      </c>
      <c r="L13" s="2">
        <f>IF(L10&lt;&gt;0, L12*(1+UnosPodataka!$M$20)^(-L10),"")</f>
        <v>0</v>
      </c>
      <c r="M13" s="2">
        <f>IF(M10&lt;&gt;0, M12*(1+UnosPodataka!$M$20)^(-M10),"")</f>
        <v>0</v>
      </c>
      <c r="N13" s="2">
        <f>IF(N10&lt;&gt;0, N12*(1+UnosPodataka!$M$20)^(-N10),"")</f>
        <v>0</v>
      </c>
      <c r="O13" s="2">
        <f>IF(O10&lt;&gt;0, O12*(1+UnosPodataka!$M$20)^(-O10),"")</f>
        <v>0</v>
      </c>
      <c r="P13" s="2">
        <f>IF(P10&lt;&gt;0, P12*(1+UnosPodataka!$M$20)^(-P10),"")</f>
        <v>0</v>
      </c>
      <c r="Q13" s="2">
        <f>IF(Q10&lt;&gt;0, Q12*(1+UnosPodataka!$M$20)^(-Q10),"")</f>
        <v>0</v>
      </c>
      <c r="R13" s="2">
        <f>IF(R10&lt;&gt;0, R12*(1+UnosPodataka!$M$20)^(-R10),"")</f>
        <v>0</v>
      </c>
      <c r="S13" s="2">
        <f>IF(S10&lt;&gt;0, S12*(1+UnosPodataka!$M$20)^(-S10),"")</f>
        <v>0</v>
      </c>
      <c r="T13" s="2">
        <f>IF(T10&lt;&gt;0, T12*(1+UnosPodataka!$M$20)^(-T10),"")</f>
        <v>0</v>
      </c>
      <c r="U13" s="2">
        <f>IF(U10&lt;&gt;0, U12*(1+UnosPodataka!$M$20)^(-U10),"")</f>
        <v>0</v>
      </c>
      <c r="V13" s="2">
        <f>IF(V10&lt;&gt;0, V12*(1+UnosPodataka!$M$20)^(-V10),"")</f>
        <v>0</v>
      </c>
      <c r="W13" s="2">
        <f>IF(W10&lt;&gt;0, W12*(1+UnosPodataka!$M$20)^(-W10),"")</f>
        <v>0</v>
      </c>
      <c r="X13" s="2">
        <f>IF(X10&lt;&gt;0, X12*(1+UnosPodataka!$M$20)^(-X10),"")</f>
        <v>0</v>
      </c>
      <c r="Y13" s="2">
        <f>IF(Y10&lt;&gt;0, Y12*(1+UnosPodataka!$M$20)^(-Y10),"")</f>
        <v>0</v>
      </c>
    </row>
    <row r="15" spans="1:25" x14ac:dyDescent="0.25">
      <c r="A15" s="81" t="s">
        <v>27</v>
      </c>
      <c r="B15" s="81"/>
      <c r="C15" s="81"/>
      <c r="D15" s="81"/>
      <c r="E15" s="16">
        <f>NPV(UnosPodataka!M20,AkoESCO!F12:Y12)</f>
        <v>0</v>
      </c>
    </row>
    <row r="16" spans="1:25" x14ac:dyDescent="0.25">
      <c r="A16" s="81" t="s">
        <v>145</v>
      </c>
      <c r="B16" s="81"/>
      <c r="C16" s="81"/>
      <c r="D16" s="81"/>
      <c r="E16" s="5" t="s">
        <v>146</v>
      </c>
    </row>
  </sheetData>
  <mergeCells count="9">
    <mergeCell ref="N7:O8"/>
    <mergeCell ref="A7:D8"/>
    <mergeCell ref="A10:D10"/>
    <mergeCell ref="A12:D12"/>
    <mergeCell ref="F3:I3"/>
    <mergeCell ref="A13:D13"/>
    <mergeCell ref="A15:D15"/>
    <mergeCell ref="A16:D16"/>
    <mergeCell ref="I7:J8"/>
  </mergeCells>
  <hyperlinks>
    <hyperlink ref="I7:J8" location="SALCoEE!A9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B23" sqref="B23"/>
    </sheetView>
  </sheetViews>
  <sheetFormatPr defaultRowHeight="15" x14ac:dyDescent="0.25"/>
  <sheetData>
    <row r="3" spans="1:9" ht="16.5" x14ac:dyDescent="0.35">
      <c r="F3" s="64" t="s">
        <v>196</v>
      </c>
      <c r="G3" s="64"/>
      <c r="H3" s="64"/>
      <c r="I3" s="64"/>
    </row>
    <row r="7" spans="1:9" x14ac:dyDescent="0.25">
      <c r="A7" s="66" t="s">
        <v>147</v>
      </c>
      <c r="B7" s="66"/>
      <c r="C7" s="66"/>
      <c r="D7" s="66"/>
    </row>
    <row r="8" spans="1:9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138</v>
      </c>
      <c r="B11" s="68"/>
      <c r="D11" s="69" t="s">
        <v>139</v>
      </c>
      <c r="E11" s="69"/>
    </row>
    <row r="12" spans="1:9" x14ac:dyDescent="0.25">
      <c r="A12" s="68"/>
      <c r="B12" s="68"/>
      <c r="D12" s="69"/>
      <c r="E12" s="69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S16" sqref="S16"/>
    </sheetView>
  </sheetViews>
  <sheetFormatPr defaultRowHeight="15" x14ac:dyDescent="0.25"/>
  <sheetData>
    <row r="3" spans="1:9" ht="16.5" x14ac:dyDescent="0.35">
      <c r="F3" s="64" t="s">
        <v>196</v>
      </c>
      <c r="G3" s="64"/>
      <c r="H3" s="64"/>
      <c r="I3" s="64"/>
    </row>
    <row r="7" spans="1:9" x14ac:dyDescent="0.25">
      <c r="A7" s="66" t="s">
        <v>148</v>
      </c>
      <c r="B7" s="66"/>
      <c r="C7" s="66"/>
      <c r="D7" s="66"/>
    </row>
    <row r="8" spans="1:9" x14ac:dyDescent="0.25">
      <c r="A8" s="66"/>
      <c r="B8" s="66"/>
      <c r="C8" s="66"/>
      <c r="D8" s="66"/>
    </row>
    <row r="9" spans="1:9" x14ac:dyDescent="0.25">
      <c r="B9" s="70" t="s">
        <v>149</v>
      </c>
      <c r="C9" s="70"/>
      <c r="D9" s="70"/>
      <c r="E9" s="76" t="str">
        <f>PROJEKAT</f>
        <v>Instalacija SCADA</v>
      </c>
      <c r="F9" s="76"/>
      <c r="G9" s="76"/>
      <c r="H9" s="76"/>
      <c r="I9" s="76"/>
    </row>
    <row r="10" spans="1:9" x14ac:dyDescent="0.25">
      <c r="B10" s="70" t="s">
        <v>150</v>
      </c>
      <c r="C10" s="70"/>
      <c r="D10" s="70"/>
      <c r="E10" s="82">
        <f>Investment</f>
        <v>1248000</v>
      </c>
      <c r="F10" s="82"/>
      <c r="G10" s="82"/>
      <c r="H10" s="82"/>
      <c r="I10" s="82"/>
    </row>
    <row r="11" spans="1:9" x14ac:dyDescent="0.25">
      <c r="B11" s="70" t="s">
        <v>151</v>
      </c>
      <c r="C11" s="70"/>
      <c r="D11" s="70"/>
      <c r="E11" s="82">
        <f>Investment-Equity-LOAN</f>
        <v>0</v>
      </c>
      <c r="F11" s="82"/>
      <c r="G11" s="82"/>
      <c r="H11" s="82"/>
      <c r="I11" s="82"/>
    </row>
    <row r="12" spans="1:9" x14ac:dyDescent="0.25">
      <c r="B12" s="70" t="s">
        <v>75</v>
      </c>
      <c r="C12" s="70"/>
      <c r="D12" s="70"/>
      <c r="E12" s="82">
        <f>Equity</f>
        <v>200000</v>
      </c>
      <c r="F12" s="82"/>
      <c r="G12" s="82"/>
      <c r="H12" s="82"/>
      <c r="I12" s="82"/>
    </row>
    <row r="13" spans="1:9" x14ac:dyDescent="0.25">
      <c r="B13" s="70" t="s">
        <v>74</v>
      </c>
      <c r="C13" s="70"/>
      <c r="D13" s="70"/>
      <c r="E13" s="82">
        <f>LOAN</f>
        <v>1048000</v>
      </c>
      <c r="F13" s="82"/>
      <c r="G13" s="82"/>
      <c r="H13" s="82"/>
      <c r="I13" s="82"/>
    </row>
    <row r="14" spans="1:9" x14ac:dyDescent="0.25">
      <c r="B14" s="70" t="s">
        <v>152</v>
      </c>
      <c r="C14" s="70"/>
      <c r="D14" s="70"/>
      <c r="E14" s="82">
        <f>LCOEE</f>
        <v>58.596542744050048</v>
      </c>
      <c r="F14" s="82"/>
      <c r="G14" s="82"/>
      <c r="H14" s="82"/>
      <c r="I14" s="82"/>
    </row>
    <row r="15" spans="1:9" x14ac:dyDescent="0.25">
      <c r="B15" s="70" t="s">
        <v>153</v>
      </c>
      <c r="C15" s="70"/>
      <c r="D15" s="70"/>
      <c r="E15" s="82">
        <f>+FinaIndicators!E44</f>
        <v>47238.906265486257</v>
      </c>
      <c r="F15" s="82"/>
      <c r="G15" s="82"/>
      <c r="H15" s="82"/>
      <c r="I15" s="82"/>
    </row>
    <row r="16" spans="1:9" x14ac:dyDescent="0.25">
      <c r="B16" s="70" t="s">
        <v>154</v>
      </c>
      <c r="C16" s="70"/>
      <c r="D16" s="70"/>
      <c r="E16" s="83">
        <f>+FinaIndicators!E45</f>
        <v>0.11511839368828092</v>
      </c>
      <c r="F16" s="83"/>
      <c r="G16" s="83"/>
      <c r="H16" s="83"/>
      <c r="I16" s="83"/>
    </row>
    <row r="17" spans="2:9" ht="18" x14ac:dyDescent="0.35">
      <c r="B17" s="85" t="s">
        <v>220</v>
      </c>
      <c r="C17" s="85"/>
      <c r="D17" s="85"/>
      <c r="E17" s="82">
        <f>+'FinInd+CO2'!E45</f>
        <v>20684.303941751492</v>
      </c>
      <c r="F17" s="82"/>
      <c r="G17" s="82"/>
      <c r="H17" s="82"/>
      <c r="I17" s="82"/>
    </row>
    <row r="18" spans="2:9" ht="18" x14ac:dyDescent="0.35">
      <c r="B18" s="85" t="s">
        <v>221</v>
      </c>
      <c r="C18" s="85"/>
      <c r="D18" s="85"/>
      <c r="E18" s="84">
        <f>+FinaIndicators!E45</f>
        <v>0.11511839368828092</v>
      </c>
      <c r="F18" s="76"/>
      <c r="G18" s="76"/>
      <c r="H18" s="76"/>
      <c r="I18" s="76"/>
    </row>
    <row r="20" spans="2:9" x14ac:dyDescent="0.25">
      <c r="B20" s="68" t="s">
        <v>138</v>
      </c>
      <c r="C20" s="68"/>
    </row>
    <row r="21" spans="2:9" x14ac:dyDescent="0.25">
      <c r="B21" s="68"/>
      <c r="C21" s="68"/>
    </row>
  </sheetData>
  <mergeCells count="23">
    <mergeCell ref="F3:I3"/>
    <mergeCell ref="B13:D13"/>
    <mergeCell ref="A7:D8"/>
    <mergeCell ref="B9:D9"/>
    <mergeCell ref="B10:D10"/>
    <mergeCell ref="B11:D11"/>
    <mergeCell ref="B12:D12"/>
    <mergeCell ref="E9:I9"/>
    <mergeCell ref="E10:I10"/>
    <mergeCell ref="E11:I11"/>
    <mergeCell ref="E12:I12"/>
    <mergeCell ref="E13:I13"/>
    <mergeCell ref="B20:C21"/>
    <mergeCell ref="B14:D14"/>
    <mergeCell ref="B15:D15"/>
    <mergeCell ref="B16:D16"/>
    <mergeCell ref="B17:D17"/>
    <mergeCell ref="B18:D18"/>
    <mergeCell ref="E14:I14"/>
    <mergeCell ref="E15:I15"/>
    <mergeCell ref="E16:I16"/>
    <mergeCell ref="E17:I17"/>
    <mergeCell ref="E18:I18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I19" sqref="I19"/>
    </sheetView>
  </sheetViews>
  <sheetFormatPr defaultRowHeight="15" x14ac:dyDescent="0.25"/>
  <cols>
    <col min="2" max="2" width="17.28515625" customWidth="1"/>
  </cols>
  <sheetData>
    <row r="7" spans="2:3" ht="21" x14ac:dyDescent="0.35">
      <c r="B7" s="63" t="s">
        <v>210</v>
      </c>
      <c r="C7" s="55"/>
    </row>
    <row r="8" spans="2:3" ht="18" x14ac:dyDescent="0.35">
      <c r="B8" s="55"/>
      <c r="C8" s="56" t="s">
        <v>211</v>
      </c>
    </row>
    <row r="9" spans="2:3" x14ac:dyDescent="0.25">
      <c r="B9" s="55" t="s">
        <v>21</v>
      </c>
      <c r="C9" s="32">
        <v>0.4</v>
      </c>
    </row>
    <row r="10" spans="2:3" x14ac:dyDescent="0.25">
      <c r="B10" s="55" t="s">
        <v>20</v>
      </c>
      <c r="C10" s="32">
        <v>0.33</v>
      </c>
    </row>
    <row r="11" spans="2:3" x14ac:dyDescent="0.25">
      <c r="B11" s="55" t="s">
        <v>212</v>
      </c>
      <c r="C11" s="32">
        <v>0.34</v>
      </c>
    </row>
    <row r="12" spans="2:3" x14ac:dyDescent="0.25">
      <c r="B12" s="55" t="s">
        <v>213</v>
      </c>
      <c r="C12" s="32">
        <v>0.27</v>
      </c>
    </row>
    <row r="13" spans="2:3" x14ac:dyDescent="0.25">
      <c r="B13" s="55" t="s">
        <v>17</v>
      </c>
      <c r="C13" s="32">
        <v>0.28000000000000003</v>
      </c>
    </row>
    <row r="14" spans="2:3" x14ac:dyDescent="0.25">
      <c r="B14" s="55" t="s">
        <v>14</v>
      </c>
      <c r="C14" s="32">
        <v>0.2</v>
      </c>
    </row>
    <row r="15" spans="2:3" x14ac:dyDescent="0.25">
      <c r="B15" s="55" t="s">
        <v>214</v>
      </c>
      <c r="C15" s="32">
        <v>0.22</v>
      </c>
    </row>
    <row r="16" spans="2:3" x14ac:dyDescent="0.25">
      <c r="B16" s="55" t="s">
        <v>215</v>
      </c>
      <c r="C16" s="32">
        <v>0.49399999999999999</v>
      </c>
    </row>
    <row r="17" spans="2:3" x14ac:dyDescent="0.25">
      <c r="B17" s="55" t="s">
        <v>23</v>
      </c>
      <c r="C17" s="32">
        <v>4.9000000000000002E-2</v>
      </c>
    </row>
    <row r="18" spans="2:3" x14ac:dyDescent="0.25">
      <c r="B18" s="55" t="s">
        <v>216</v>
      </c>
      <c r="C18" s="32">
        <v>0.04</v>
      </c>
    </row>
    <row r="19" spans="2:3" x14ac:dyDescent="0.25">
      <c r="B19" s="55" t="s">
        <v>217</v>
      </c>
      <c r="C19" s="32">
        <v>0.28999999999999998</v>
      </c>
    </row>
    <row r="20" spans="2:3" x14ac:dyDescent="0.25">
      <c r="B20" s="55" t="s">
        <v>18</v>
      </c>
      <c r="C20" s="32">
        <v>0.8</v>
      </c>
    </row>
    <row r="21" spans="2:3" x14ac:dyDescent="0.25">
      <c r="B21" s="55" t="s">
        <v>218</v>
      </c>
      <c r="C21" s="32">
        <v>0</v>
      </c>
    </row>
    <row r="22" spans="2:3" x14ac:dyDescent="0.25">
      <c r="B22" s="55" t="s">
        <v>206</v>
      </c>
      <c r="C22" s="55"/>
    </row>
    <row r="23" spans="2:3" x14ac:dyDescent="0.25">
      <c r="B23" s="55" t="s">
        <v>219</v>
      </c>
      <c r="C23" s="32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V40"/>
  <sheetViews>
    <sheetView topLeftCell="B13" workbookViewId="0">
      <selection activeCell="U19" sqref="U19"/>
    </sheetView>
  </sheetViews>
  <sheetFormatPr defaultRowHeight="15" x14ac:dyDescent="0.25"/>
  <cols>
    <col min="2" max="2" width="36.42578125" customWidth="1"/>
    <col min="7" max="7" width="10.28515625" customWidth="1"/>
    <col min="10" max="10" width="12.7109375" customWidth="1"/>
    <col min="13" max="13" width="10.140625" customWidth="1"/>
  </cols>
  <sheetData>
    <row r="3" spans="1:14" ht="16.5" x14ac:dyDescent="0.35">
      <c r="D3" s="64" t="s">
        <v>196</v>
      </c>
      <c r="E3" s="64"/>
      <c r="F3" s="64"/>
      <c r="G3" s="64"/>
    </row>
    <row r="7" spans="1:14" ht="15" customHeight="1" x14ac:dyDescent="0.25">
      <c r="A7" s="14" t="s">
        <v>30</v>
      </c>
      <c r="B7" t="s">
        <v>31</v>
      </c>
      <c r="E7">
        <v>1</v>
      </c>
      <c r="G7" s="18" t="s">
        <v>11</v>
      </c>
      <c r="H7" t="s">
        <v>48</v>
      </c>
      <c r="M7" s="18" t="s">
        <v>3</v>
      </c>
      <c r="N7" t="s">
        <v>4</v>
      </c>
    </row>
    <row r="8" spans="1:14" x14ac:dyDescent="0.25">
      <c r="B8" t="s">
        <v>32</v>
      </c>
      <c r="E8">
        <v>2</v>
      </c>
      <c r="H8" t="s">
        <v>49</v>
      </c>
      <c r="N8" t="s">
        <v>5</v>
      </c>
    </row>
    <row r="9" spans="1:14" x14ac:dyDescent="0.25">
      <c r="B9" t="s">
        <v>33</v>
      </c>
      <c r="E9">
        <v>3</v>
      </c>
      <c r="H9" t="s">
        <v>109</v>
      </c>
      <c r="N9" t="s">
        <v>6</v>
      </c>
    </row>
    <row r="10" spans="1:14" x14ac:dyDescent="0.25">
      <c r="B10" t="s">
        <v>34</v>
      </c>
      <c r="E10">
        <v>4</v>
      </c>
      <c r="H10" t="s">
        <v>110</v>
      </c>
      <c r="N10" t="s">
        <v>7</v>
      </c>
    </row>
    <row r="11" spans="1:14" x14ac:dyDescent="0.25">
      <c r="B11" t="s">
        <v>35</v>
      </c>
      <c r="E11">
        <v>5</v>
      </c>
      <c r="H11" t="s">
        <v>111</v>
      </c>
      <c r="N11" t="s">
        <v>8</v>
      </c>
    </row>
    <row r="12" spans="1:14" x14ac:dyDescent="0.25">
      <c r="B12" t="s">
        <v>36</v>
      </c>
      <c r="E12">
        <v>6</v>
      </c>
      <c r="H12" t="s">
        <v>112</v>
      </c>
      <c r="N12" t="s">
        <v>9</v>
      </c>
    </row>
    <row r="13" spans="1:14" x14ac:dyDescent="0.25">
      <c r="B13" t="s">
        <v>37</v>
      </c>
      <c r="E13">
        <v>7</v>
      </c>
      <c r="H13" t="s">
        <v>118</v>
      </c>
    </row>
    <row r="14" spans="1:14" x14ac:dyDescent="0.25">
      <c r="B14" t="s">
        <v>38</v>
      </c>
      <c r="E14">
        <v>8</v>
      </c>
      <c r="H14" t="s">
        <v>113</v>
      </c>
    </row>
    <row r="15" spans="1:14" x14ac:dyDescent="0.25">
      <c r="B15" t="s">
        <v>39</v>
      </c>
      <c r="E15">
        <v>9</v>
      </c>
      <c r="G15" s="10"/>
      <c r="H15" t="s">
        <v>114</v>
      </c>
      <c r="M15" s="18" t="s">
        <v>10</v>
      </c>
      <c r="N15" t="s">
        <v>50</v>
      </c>
    </row>
    <row r="16" spans="1:14" x14ac:dyDescent="0.25">
      <c r="B16" t="s">
        <v>40</v>
      </c>
      <c r="E16">
        <v>10</v>
      </c>
      <c r="G16" s="10"/>
      <c r="H16" t="s">
        <v>115</v>
      </c>
      <c r="N16" t="s">
        <v>51</v>
      </c>
    </row>
    <row r="17" spans="2:22" x14ac:dyDescent="0.25">
      <c r="B17" t="s">
        <v>41</v>
      </c>
      <c r="E17">
        <v>11</v>
      </c>
      <c r="H17" t="s">
        <v>116</v>
      </c>
      <c r="N17" t="s">
        <v>52</v>
      </c>
    </row>
    <row r="18" spans="2:22" x14ac:dyDescent="0.25">
      <c r="B18" t="s">
        <v>42</v>
      </c>
      <c r="E18">
        <v>12</v>
      </c>
      <c r="H18" t="s">
        <v>117</v>
      </c>
      <c r="N18" t="s">
        <v>53</v>
      </c>
    </row>
    <row r="19" spans="2:22" ht="18" x14ac:dyDescent="0.35">
      <c r="B19" t="s">
        <v>43</v>
      </c>
      <c r="E19">
        <v>13</v>
      </c>
      <c r="N19" t="s">
        <v>54</v>
      </c>
    </row>
    <row r="20" spans="2:22" x14ac:dyDescent="0.25">
      <c r="B20" t="s">
        <v>44</v>
      </c>
      <c r="E20">
        <v>14</v>
      </c>
      <c r="N20" t="s">
        <v>137</v>
      </c>
    </row>
    <row r="21" spans="2:22" ht="18" x14ac:dyDescent="0.35">
      <c r="B21" t="s">
        <v>45</v>
      </c>
      <c r="E21">
        <v>15</v>
      </c>
      <c r="G21" s="70" t="s">
        <v>160</v>
      </c>
      <c r="H21" s="70"/>
      <c r="I21" s="70"/>
      <c r="M21" s="18" t="s">
        <v>12</v>
      </c>
      <c r="N21" t="s">
        <v>55</v>
      </c>
    </row>
    <row r="22" spans="2:22" x14ac:dyDescent="0.25">
      <c r="B22" t="s">
        <v>46</v>
      </c>
      <c r="E22">
        <v>16</v>
      </c>
      <c r="H22" t="s">
        <v>156</v>
      </c>
      <c r="J22">
        <v>0</v>
      </c>
      <c r="K22" s="33">
        <v>0</v>
      </c>
      <c r="N22" t="s">
        <v>56</v>
      </c>
    </row>
    <row r="23" spans="2:22" x14ac:dyDescent="0.25">
      <c r="B23" t="s">
        <v>47</v>
      </c>
      <c r="E23">
        <v>17</v>
      </c>
      <c r="H23" t="s">
        <v>157</v>
      </c>
      <c r="J23" s="2">
        <f>+LOAN</f>
        <v>1048000</v>
      </c>
      <c r="K23" s="33">
        <v>0.12</v>
      </c>
      <c r="N23" t="s">
        <v>57</v>
      </c>
    </row>
    <row r="24" spans="2:22" x14ac:dyDescent="0.25">
      <c r="B24" t="s">
        <v>101</v>
      </c>
      <c r="H24" t="s">
        <v>158</v>
      </c>
      <c r="J24" s="7">
        <v>200000</v>
      </c>
      <c r="K24" s="33">
        <v>5.8299999999999998E-2</v>
      </c>
      <c r="N24" t="s">
        <v>58</v>
      </c>
    </row>
    <row r="25" spans="2:22" x14ac:dyDescent="0.25">
      <c r="B25" s="13">
        <f>VLOOKUP(Pocetna!M12,B7:E23,4,FALSE)</f>
        <v>8</v>
      </c>
      <c r="I25" t="s">
        <v>159</v>
      </c>
      <c r="J25" s="7">
        <f>SUM(J22:J24)</f>
        <v>1248000</v>
      </c>
      <c r="K25" s="6">
        <f>+(J22*K22+J23*K23+J24*K24)/J25</f>
        <v>0.11011217948717948</v>
      </c>
      <c r="N25" t="s">
        <v>59</v>
      </c>
    </row>
    <row r="26" spans="2:22" x14ac:dyDescent="0.25">
      <c r="B26" s="9"/>
      <c r="N26" t="s">
        <v>161</v>
      </c>
    </row>
    <row r="27" spans="2:22" x14ac:dyDescent="0.25">
      <c r="B27" s="29"/>
      <c r="N27" t="s">
        <v>60</v>
      </c>
    </row>
    <row r="28" spans="2:22" x14ac:dyDescent="0.25">
      <c r="B28" s="30"/>
      <c r="M28" s="18" t="s">
        <v>13</v>
      </c>
    </row>
    <row r="29" spans="2:22" x14ac:dyDescent="0.25">
      <c r="B29" s="31"/>
      <c r="N29" t="s">
        <v>14</v>
      </c>
      <c r="P29" s="2">
        <v>0.2</v>
      </c>
      <c r="T29" s="55"/>
      <c r="U29" s="55"/>
      <c r="V29" s="2"/>
    </row>
    <row r="30" spans="2:22" x14ac:dyDescent="0.25">
      <c r="B30" s="29"/>
      <c r="N30" t="s">
        <v>15</v>
      </c>
      <c r="P30" s="2">
        <v>0.22</v>
      </c>
      <c r="T30" s="55"/>
      <c r="U30" s="55"/>
      <c r="V30" s="2"/>
    </row>
    <row r="31" spans="2:22" x14ac:dyDescent="0.25">
      <c r="N31" t="s">
        <v>16</v>
      </c>
      <c r="P31" s="2">
        <v>0.27</v>
      </c>
      <c r="T31" s="55"/>
      <c r="U31" s="55"/>
      <c r="V31" s="2"/>
    </row>
    <row r="32" spans="2:22" x14ac:dyDescent="0.25">
      <c r="N32" t="s">
        <v>17</v>
      </c>
      <c r="P32" s="2">
        <v>0.28000000000000003</v>
      </c>
      <c r="T32" s="55"/>
      <c r="U32" s="55"/>
      <c r="V32" s="2"/>
    </row>
    <row r="33" spans="14:22" x14ac:dyDescent="0.25">
      <c r="N33" t="s">
        <v>18</v>
      </c>
      <c r="P33" s="2">
        <v>0.8</v>
      </c>
      <c r="T33" s="55"/>
      <c r="U33" s="55"/>
      <c r="V33" s="2"/>
    </row>
    <row r="34" spans="14:22" x14ac:dyDescent="0.25">
      <c r="N34" t="s">
        <v>19</v>
      </c>
      <c r="P34" s="2">
        <v>0.49</v>
      </c>
      <c r="T34" s="55"/>
      <c r="U34" s="55"/>
      <c r="V34" s="2"/>
    </row>
    <row r="35" spans="14:22" x14ac:dyDescent="0.25">
      <c r="N35" t="s">
        <v>23</v>
      </c>
      <c r="P35" s="2">
        <v>0</v>
      </c>
      <c r="T35" s="55"/>
      <c r="U35" s="55"/>
      <c r="V35" s="2"/>
    </row>
    <row r="36" spans="14:22" x14ac:dyDescent="0.25">
      <c r="N36" t="s">
        <v>20</v>
      </c>
      <c r="P36" s="2">
        <v>0.4</v>
      </c>
      <c r="T36" s="55"/>
      <c r="U36" s="55"/>
      <c r="V36" s="2"/>
    </row>
    <row r="37" spans="14:22" x14ac:dyDescent="0.25">
      <c r="N37" t="s">
        <v>21</v>
      </c>
      <c r="P37" s="2">
        <v>0.33</v>
      </c>
      <c r="T37" s="55"/>
      <c r="U37" s="55"/>
      <c r="V37" s="2"/>
    </row>
    <row r="38" spans="14:22" x14ac:dyDescent="0.25">
      <c r="N38" t="s">
        <v>22</v>
      </c>
      <c r="P38" s="2">
        <v>0</v>
      </c>
      <c r="T38" s="55"/>
      <c r="U38" s="55"/>
      <c r="V38" s="2"/>
    </row>
    <row r="39" spans="14:22" x14ac:dyDescent="0.25">
      <c r="N39" t="s">
        <v>140</v>
      </c>
      <c r="P39" s="32">
        <f>SUM(KonvFaktor!E21)</f>
        <v>1.7294117647058824E-2</v>
      </c>
      <c r="T39" s="55"/>
      <c r="U39" s="55"/>
      <c r="V39" s="32"/>
    </row>
    <row r="40" spans="14:22" x14ac:dyDescent="0.25">
      <c r="N40" t="s">
        <v>198</v>
      </c>
      <c r="P40" s="2">
        <v>0.22</v>
      </c>
    </row>
  </sheetData>
  <sheetProtection selectLockedCells="1"/>
  <mergeCells count="2">
    <mergeCell ref="G21:I21"/>
    <mergeCell ref="D3:G3"/>
  </mergeCells>
  <dataValidations disablePrompts="1" count="1"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J24">
      <formula1>0</formula1>
      <formula2>1000000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zoomScaleNormal="100" workbookViewId="0">
      <selection activeCell="J21" sqref="J21"/>
    </sheetView>
  </sheetViews>
  <sheetFormatPr defaultRowHeight="15" x14ac:dyDescent="0.25"/>
  <cols>
    <col min="2" max="2" width="20.85546875" customWidth="1"/>
    <col min="3" max="3" width="13" customWidth="1"/>
  </cols>
  <sheetData>
    <row r="1" spans="1:9" x14ac:dyDescent="0.25">
      <c r="A1" s="55"/>
      <c r="B1" s="55"/>
      <c r="C1" s="55"/>
      <c r="D1" s="55"/>
      <c r="E1" s="55"/>
      <c r="F1" s="55"/>
      <c r="G1" s="55"/>
      <c r="H1" s="55"/>
      <c r="I1" s="55"/>
    </row>
    <row r="2" spans="1:9" x14ac:dyDescent="0.25">
      <c r="A2" s="55"/>
      <c r="B2" s="55"/>
      <c r="C2" s="55"/>
      <c r="D2" s="55"/>
      <c r="E2" s="55"/>
      <c r="F2" s="55"/>
      <c r="G2" s="55"/>
      <c r="H2" s="55"/>
      <c r="I2" s="55"/>
    </row>
    <row r="3" spans="1:9" ht="16.5" x14ac:dyDescent="0.35">
      <c r="A3" s="55"/>
      <c r="B3" s="55"/>
      <c r="C3" s="55"/>
      <c r="D3" s="64" t="s">
        <v>196</v>
      </c>
      <c r="E3" s="64"/>
      <c r="F3" s="64"/>
      <c r="G3" s="64"/>
      <c r="H3" s="55"/>
      <c r="I3" s="55"/>
    </row>
    <row r="4" spans="1:9" x14ac:dyDescent="0.25">
      <c r="A4" s="55"/>
      <c r="B4" s="55"/>
      <c r="C4" s="55"/>
      <c r="D4" s="55"/>
      <c r="E4" s="55"/>
      <c r="F4" s="55"/>
      <c r="G4" s="55"/>
      <c r="H4" s="55"/>
      <c r="I4" s="55"/>
    </row>
    <row r="5" spans="1:9" x14ac:dyDescent="0.25">
      <c r="A5" s="55"/>
      <c r="B5" s="55"/>
      <c r="C5" s="55"/>
      <c r="D5" s="55"/>
      <c r="E5" s="55"/>
      <c r="F5" s="55"/>
      <c r="G5" s="55"/>
      <c r="H5" s="55"/>
      <c r="I5" s="55"/>
    </row>
    <row r="6" spans="1:9" x14ac:dyDescent="0.25">
      <c r="A6" s="55"/>
      <c r="B6" s="55"/>
      <c r="C6" s="55"/>
      <c r="D6" s="55"/>
      <c r="E6" s="55"/>
      <c r="F6" s="55"/>
      <c r="G6" s="55"/>
      <c r="H6" s="55"/>
      <c r="I6" s="55"/>
    </row>
    <row r="7" spans="1:9" ht="21" x14ac:dyDescent="0.35">
      <c r="A7" s="55"/>
      <c r="B7" s="72" t="s">
        <v>199</v>
      </c>
      <c r="C7" s="72"/>
      <c r="D7" s="72"/>
      <c r="E7" s="72"/>
      <c r="F7" s="72"/>
      <c r="G7" s="72"/>
      <c r="H7" s="55"/>
      <c r="I7" s="55"/>
    </row>
    <row r="8" spans="1:9" x14ac:dyDescent="0.25">
      <c r="A8" s="55"/>
      <c r="B8" s="56"/>
      <c r="C8" s="56"/>
      <c r="D8" s="56"/>
      <c r="E8" s="56"/>
      <c r="F8" s="56"/>
      <c r="G8" s="56"/>
      <c r="H8" s="55"/>
      <c r="I8" s="55"/>
    </row>
    <row r="9" spans="1:9" x14ac:dyDescent="0.25">
      <c r="A9" s="55"/>
      <c r="B9" s="73" t="s">
        <v>200</v>
      </c>
      <c r="C9" s="73" t="s">
        <v>201</v>
      </c>
      <c r="D9" s="73" t="s">
        <v>202</v>
      </c>
      <c r="E9" s="73" t="s">
        <v>203</v>
      </c>
      <c r="F9" s="55"/>
      <c r="G9" s="55"/>
      <c r="H9" s="55"/>
      <c r="I9" s="55"/>
    </row>
    <row r="10" spans="1:9" x14ac:dyDescent="0.25">
      <c r="A10" s="55"/>
      <c r="B10" s="73"/>
      <c r="C10" s="73"/>
      <c r="D10" s="73"/>
      <c r="E10" s="73"/>
      <c r="F10" s="55"/>
      <c r="G10" s="55"/>
      <c r="H10" s="55"/>
      <c r="I10" s="55"/>
    </row>
    <row r="11" spans="1:9" ht="18" x14ac:dyDescent="0.35">
      <c r="A11" s="55"/>
      <c r="B11" s="18"/>
      <c r="C11" s="57" t="s">
        <v>204</v>
      </c>
      <c r="D11" s="57" t="s">
        <v>127</v>
      </c>
      <c r="E11" s="57" t="s">
        <v>205</v>
      </c>
      <c r="F11" s="55"/>
      <c r="G11" s="55"/>
      <c r="H11" s="55"/>
      <c r="I11" s="55"/>
    </row>
    <row r="12" spans="1:9" x14ac:dyDescent="0.25">
      <c r="A12" s="55"/>
      <c r="B12" s="58" t="s">
        <v>23</v>
      </c>
      <c r="C12" s="59">
        <v>36000</v>
      </c>
      <c r="D12" s="60">
        <f>VLOOKUP(B12,Gorivo!B9:C23,2,FALSE)</f>
        <v>4.9000000000000002E-2</v>
      </c>
      <c r="E12" s="61">
        <f>IF(B12&lt;&gt;"Gorivo",C12*D12,"")</f>
        <v>1764</v>
      </c>
      <c r="F12" s="55"/>
      <c r="G12" s="55"/>
      <c r="H12" s="55"/>
      <c r="I12" s="55"/>
    </row>
    <row r="13" spans="1:9" x14ac:dyDescent="0.25">
      <c r="A13" s="55"/>
      <c r="B13" s="58" t="s">
        <v>206</v>
      </c>
      <c r="C13" s="59">
        <v>6000</v>
      </c>
      <c r="D13" s="60" t="str">
        <f>IF(B13&lt;&gt;"Gorivo",VLOOKUP(B13,[1]Goriva!B10:C23,2,FALSE),"")</f>
        <v/>
      </c>
      <c r="E13" s="61" t="str">
        <f t="shared" ref="E13:E17" si="0">IF(B13&lt;&gt;"Gorivo",C13*D13,"")</f>
        <v/>
      </c>
      <c r="F13" s="55"/>
      <c r="G13" s="55"/>
      <c r="H13" s="55"/>
      <c r="I13" s="55"/>
    </row>
    <row r="14" spans="1:9" x14ac:dyDescent="0.25">
      <c r="A14" s="55"/>
      <c r="B14" s="58" t="s">
        <v>206</v>
      </c>
      <c r="C14" s="59">
        <v>60000</v>
      </c>
      <c r="D14" s="60" t="str">
        <f>IF(B14&lt;&gt;"Gorivo",VLOOKUP(B14,[1]Goriva!B11:C24,2,FALSE),"")</f>
        <v/>
      </c>
      <c r="E14" s="61" t="str">
        <f t="shared" si="0"/>
        <v/>
      </c>
      <c r="F14" s="55"/>
      <c r="G14" s="55"/>
      <c r="H14" s="55"/>
      <c r="I14" s="55"/>
    </row>
    <row r="15" spans="1:9" x14ac:dyDescent="0.25">
      <c r="A15" s="55"/>
      <c r="B15" s="58" t="s">
        <v>206</v>
      </c>
      <c r="C15" s="59"/>
      <c r="D15" s="60" t="str">
        <f>IF(B15&lt;&gt;"Gorivo",VLOOKUP(B15,[1]Goriva!B12:C25,2,FALSE),"")</f>
        <v/>
      </c>
      <c r="E15" s="61" t="str">
        <f t="shared" si="0"/>
        <v/>
      </c>
      <c r="F15" s="55"/>
      <c r="G15" s="55"/>
      <c r="H15" s="55"/>
      <c r="I15" s="55"/>
    </row>
    <row r="16" spans="1:9" x14ac:dyDescent="0.25">
      <c r="A16" s="55"/>
      <c r="B16" s="58" t="s">
        <v>206</v>
      </c>
      <c r="C16" s="59"/>
      <c r="D16" s="60" t="str">
        <f>IF(B16&lt;&gt;"Gorivo",VLOOKUP(B16,[1]Goriva!B13:C26,2,FALSE),"")</f>
        <v/>
      </c>
      <c r="E16" s="61" t="str">
        <f t="shared" si="0"/>
        <v/>
      </c>
      <c r="F16" s="55"/>
      <c r="G16" s="55"/>
      <c r="H16" s="55"/>
      <c r="I16" s="55"/>
    </row>
    <row r="17" spans="1:9" x14ac:dyDescent="0.25">
      <c r="A17" s="55"/>
      <c r="B17" s="58" t="s">
        <v>206</v>
      </c>
      <c r="C17" s="59"/>
      <c r="D17" s="60" t="str">
        <f>IF(B17&lt;&gt;"Gorivo",VLOOKUP(B17,[1]Goriva!B14:C27,2,FALSE),"")</f>
        <v/>
      </c>
      <c r="E17" s="61" t="str">
        <f t="shared" si="0"/>
        <v/>
      </c>
      <c r="F17" s="55"/>
      <c r="G17" s="55"/>
      <c r="H17" s="55"/>
      <c r="I17" s="55"/>
    </row>
    <row r="18" spans="1:9" x14ac:dyDescent="0.25">
      <c r="A18" s="55"/>
      <c r="B18" s="18" t="s">
        <v>207</v>
      </c>
      <c r="C18" s="61">
        <f>SUM(C12:C17)</f>
        <v>102000</v>
      </c>
      <c r="D18" s="60"/>
      <c r="E18" s="61">
        <f>SUM(E12:E17)</f>
        <v>1764</v>
      </c>
      <c r="F18" s="55"/>
      <c r="G18" s="55"/>
      <c r="H18" s="55"/>
      <c r="I18" s="55"/>
    </row>
    <row r="19" spans="1:9" x14ac:dyDescent="0.25">
      <c r="A19" s="55"/>
      <c r="B19" s="55"/>
      <c r="C19" s="55"/>
      <c r="D19" s="55"/>
      <c r="E19" s="55"/>
      <c r="F19" s="55"/>
      <c r="G19" s="55"/>
      <c r="H19" s="55"/>
      <c r="I19" s="55"/>
    </row>
    <row r="20" spans="1:9" ht="18" x14ac:dyDescent="0.35">
      <c r="A20" s="55"/>
      <c r="B20" s="71" t="s">
        <v>208</v>
      </c>
      <c r="C20" s="71"/>
      <c r="D20" s="71"/>
      <c r="E20" s="57" t="s">
        <v>209</v>
      </c>
      <c r="F20" s="55"/>
      <c r="G20" s="55"/>
      <c r="H20" s="55"/>
      <c r="I20" s="55"/>
    </row>
    <row r="21" spans="1:9" x14ac:dyDescent="0.25">
      <c r="A21" s="55"/>
      <c r="B21" s="71"/>
      <c r="C21" s="71"/>
      <c r="D21" s="71"/>
      <c r="E21" s="62">
        <f>E18/C18</f>
        <v>1.7294117647058824E-2</v>
      </c>
      <c r="F21" s="55"/>
      <c r="G21" s="55"/>
      <c r="H21" s="55"/>
      <c r="I21" s="55"/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R33"/>
  <sheetViews>
    <sheetView workbookViewId="0">
      <selection activeCell="M13" sqref="M13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8" ht="16.5" x14ac:dyDescent="0.35">
      <c r="F3" s="64" t="s">
        <v>196</v>
      </c>
      <c r="G3" s="64"/>
      <c r="H3" s="64"/>
      <c r="I3" s="64"/>
    </row>
    <row r="7" spans="2:18" x14ac:dyDescent="0.25">
      <c r="B7" s="78" t="s">
        <v>64</v>
      </c>
      <c r="C7" s="78"/>
      <c r="D7" s="78"/>
      <c r="E7" s="78"/>
      <c r="F7" s="1" t="s">
        <v>1</v>
      </c>
      <c r="I7" s="77" t="s">
        <v>64</v>
      </c>
      <c r="J7" s="77"/>
      <c r="K7" s="77"/>
      <c r="L7" s="77"/>
      <c r="M7" s="1" t="s">
        <v>24</v>
      </c>
    </row>
    <row r="8" spans="2:18" x14ac:dyDescent="0.25">
      <c r="Q8" s="68" t="s">
        <v>138</v>
      </c>
      <c r="R8" s="68"/>
    </row>
    <row r="9" spans="2:18" x14ac:dyDescent="0.25">
      <c r="B9" s="75" t="s">
        <v>48</v>
      </c>
      <c r="C9" s="75"/>
      <c r="D9" s="75"/>
      <c r="E9" s="75"/>
      <c r="F9" s="7">
        <v>5000</v>
      </c>
      <c r="G9" s="34">
        <f t="shared" ref="G9:G21" si="0">+F9/Investment</f>
        <v>4.0064102564102561E-3</v>
      </c>
      <c r="I9" s="74" t="s">
        <v>50</v>
      </c>
      <c r="J9" s="74"/>
      <c r="K9" s="74"/>
      <c r="L9" s="74"/>
      <c r="M9" s="2">
        <v>100</v>
      </c>
      <c r="Q9" s="68"/>
      <c r="R9" s="68"/>
    </row>
    <row r="10" spans="2:18" x14ac:dyDescent="0.25">
      <c r="B10" s="75" t="s">
        <v>49</v>
      </c>
      <c r="C10" s="75"/>
      <c r="D10" s="75"/>
      <c r="E10" s="75"/>
      <c r="F10" s="7">
        <v>3000</v>
      </c>
      <c r="G10" s="34">
        <f t="shared" si="0"/>
        <v>2.403846153846154E-3</v>
      </c>
      <c r="I10" s="74" t="s">
        <v>51</v>
      </c>
      <c r="J10" s="74"/>
      <c r="K10" s="74"/>
      <c r="L10" s="74"/>
      <c r="M10" s="6">
        <v>1</v>
      </c>
    </row>
    <row r="11" spans="2:18" x14ac:dyDescent="0.25">
      <c r="B11" s="75" t="s">
        <v>109</v>
      </c>
      <c r="C11" s="75"/>
      <c r="D11" s="75"/>
      <c r="E11" s="75"/>
      <c r="F11" s="7">
        <v>780000</v>
      </c>
      <c r="G11" s="34">
        <f t="shared" si="0"/>
        <v>0.625</v>
      </c>
      <c r="I11" s="74" t="s">
        <v>52</v>
      </c>
      <c r="J11" s="74"/>
      <c r="K11" s="74"/>
      <c r="L11" s="74"/>
      <c r="M11" s="19">
        <v>0.03</v>
      </c>
      <c r="Q11" s="69" t="s">
        <v>139</v>
      </c>
      <c r="R11" s="69"/>
    </row>
    <row r="12" spans="2:18" x14ac:dyDescent="0.25">
      <c r="B12" s="75" t="s">
        <v>110</v>
      </c>
      <c r="C12" s="75"/>
      <c r="D12" s="75"/>
      <c r="E12" s="75"/>
      <c r="F12" s="7">
        <v>140000</v>
      </c>
      <c r="G12" s="34">
        <f t="shared" si="0"/>
        <v>0.11217948717948718</v>
      </c>
      <c r="I12" s="74" t="s">
        <v>53</v>
      </c>
      <c r="J12" s="74"/>
      <c r="K12" s="74"/>
      <c r="L12" s="74"/>
      <c r="M12" s="19">
        <v>0.1</v>
      </c>
      <c r="Q12" s="69"/>
      <c r="R12" s="69"/>
    </row>
    <row r="13" spans="2:18" x14ac:dyDescent="0.25">
      <c r="B13" s="75" t="s">
        <v>111</v>
      </c>
      <c r="C13" s="75"/>
      <c r="D13" s="75"/>
      <c r="E13" s="75"/>
      <c r="F13" s="7">
        <v>30000</v>
      </c>
      <c r="G13" s="34">
        <f t="shared" si="0"/>
        <v>2.403846153846154E-2</v>
      </c>
      <c r="I13" s="74" t="s">
        <v>67</v>
      </c>
      <c r="J13" s="74"/>
      <c r="K13" s="74"/>
      <c r="L13" s="74"/>
      <c r="M13" s="20">
        <f>97.44*N13</f>
        <v>97.44</v>
      </c>
      <c r="N13">
        <v>1</v>
      </c>
      <c r="O13" s="33">
        <f>+N13-1</f>
        <v>0</v>
      </c>
    </row>
    <row r="14" spans="2:18" x14ac:dyDescent="0.25">
      <c r="B14" s="74" t="s">
        <v>112</v>
      </c>
      <c r="C14" s="74"/>
      <c r="D14" s="74"/>
      <c r="E14" s="74"/>
      <c r="F14" s="7">
        <v>100000</v>
      </c>
      <c r="G14" s="34">
        <f t="shared" si="0"/>
        <v>8.0128205128205135E-2</v>
      </c>
      <c r="I14" s="74" t="s">
        <v>137</v>
      </c>
      <c r="J14" s="74"/>
      <c r="K14" s="74"/>
      <c r="L14" s="74"/>
      <c r="M14" s="7">
        <v>15000</v>
      </c>
    </row>
    <row r="15" spans="2:18" x14ac:dyDescent="0.25">
      <c r="B15" s="74" t="s">
        <v>118</v>
      </c>
      <c r="C15" s="74"/>
      <c r="D15" s="74"/>
      <c r="E15" s="74"/>
      <c r="F15" s="7">
        <v>28000</v>
      </c>
      <c r="G15" s="34">
        <f t="shared" si="0"/>
        <v>2.2435897435897436E-2</v>
      </c>
      <c r="I15" s="22"/>
      <c r="J15" s="22"/>
      <c r="K15" s="22"/>
      <c r="L15" s="22"/>
      <c r="M15" s="20"/>
    </row>
    <row r="16" spans="2:18" x14ac:dyDescent="0.25">
      <c r="B16" s="75" t="s">
        <v>113</v>
      </c>
      <c r="C16" s="75"/>
      <c r="D16" s="75"/>
      <c r="E16" s="75"/>
      <c r="F16" s="7">
        <v>100000</v>
      </c>
      <c r="G16" s="34">
        <f t="shared" si="0"/>
        <v>8.0128205128205135E-2</v>
      </c>
      <c r="I16" s="22"/>
      <c r="J16" s="22"/>
      <c r="K16" s="22"/>
      <c r="L16" s="22"/>
      <c r="M16" s="20"/>
    </row>
    <row r="17" spans="2:13" x14ac:dyDescent="0.25">
      <c r="B17" s="75" t="s">
        <v>114</v>
      </c>
      <c r="C17" s="75"/>
      <c r="D17" s="75"/>
      <c r="E17" s="75"/>
      <c r="F17" s="7">
        <v>12000</v>
      </c>
      <c r="G17" s="34">
        <f t="shared" si="0"/>
        <v>9.6153846153846159E-3</v>
      </c>
      <c r="I17" s="22"/>
      <c r="J17" s="22"/>
      <c r="K17" s="22"/>
      <c r="L17" s="22"/>
      <c r="M17" s="20"/>
    </row>
    <row r="18" spans="2:13" x14ac:dyDescent="0.25">
      <c r="B18" s="75" t="s">
        <v>115</v>
      </c>
      <c r="C18" s="75"/>
      <c r="D18" s="75"/>
      <c r="E18" s="75"/>
      <c r="F18" s="7">
        <v>20000</v>
      </c>
      <c r="G18" s="34">
        <f t="shared" si="0"/>
        <v>1.6025641025641024E-2</v>
      </c>
      <c r="I18" s="22"/>
      <c r="J18" s="22"/>
      <c r="K18" s="22"/>
      <c r="L18" s="22"/>
      <c r="M18" s="20"/>
    </row>
    <row r="19" spans="2:13" x14ac:dyDescent="0.25">
      <c r="B19" s="75" t="s">
        <v>116</v>
      </c>
      <c r="C19" s="75"/>
      <c r="D19" s="75"/>
      <c r="E19" s="75"/>
      <c r="F19" s="7">
        <v>10000</v>
      </c>
      <c r="G19" s="34">
        <f t="shared" si="0"/>
        <v>8.0128205128205121E-3</v>
      </c>
      <c r="I19" s="76"/>
      <c r="J19" s="76"/>
      <c r="K19" s="76"/>
      <c r="L19" s="76"/>
      <c r="M19" s="6"/>
    </row>
    <row r="20" spans="2:13" x14ac:dyDescent="0.25">
      <c r="B20" s="75" t="s">
        <v>117</v>
      </c>
      <c r="C20" s="75"/>
      <c r="D20" s="75"/>
      <c r="E20" s="75"/>
      <c r="F20" s="7">
        <v>20000</v>
      </c>
      <c r="G20" s="34">
        <f t="shared" si="0"/>
        <v>1.6025641025641024E-2</v>
      </c>
      <c r="I20" s="74" t="s">
        <v>58</v>
      </c>
      <c r="J20" s="74"/>
      <c r="K20" s="74"/>
      <c r="L20" s="74"/>
      <c r="M20" s="19">
        <v>0.06</v>
      </c>
    </row>
    <row r="21" spans="2:13" x14ac:dyDescent="0.25">
      <c r="E21" s="3" t="s">
        <v>65</v>
      </c>
      <c r="F21" s="2">
        <f>SUM(F9:F20)*I33</f>
        <v>1248000</v>
      </c>
      <c r="G21" s="34">
        <f t="shared" si="0"/>
        <v>1</v>
      </c>
      <c r="I21" s="74" t="s">
        <v>59</v>
      </c>
      <c r="J21" s="74"/>
      <c r="K21" s="74"/>
      <c r="L21" s="74"/>
      <c r="M21" s="19">
        <v>0.12</v>
      </c>
    </row>
    <row r="22" spans="2:13" x14ac:dyDescent="0.25">
      <c r="G22" s="34"/>
      <c r="I22" s="74" t="s">
        <v>161</v>
      </c>
      <c r="J22" s="74"/>
      <c r="K22" s="74"/>
      <c r="L22" s="74"/>
      <c r="M22" s="19">
        <v>5.8299999999999998E-2</v>
      </c>
    </row>
    <row r="23" spans="2:13" x14ac:dyDescent="0.25">
      <c r="B23" s="74" t="s">
        <v>7</v>
      </c>
      <c r="C23" s="74"/>
      <c r="D23" s="74"/>
      <c r="E23" s="74"/>
      <c r="F23" s="7">
        <v>0</v>
      </c>
      <c r="G23" s="34">
        <f>+F23/Investment</f>
        <v>0</v>
      </c>
      <c r="I23" s="74" t="s">
        <v>56</v>
      </c>
      <c r="J23" s="74"/>
      <c r="K23" s="74"/>
      <c r="L23" s="74"/>
      <c r="M23" s="21">
        <v>10</v>
      </c>
    </row>
    <row r="24" spans="2:13" x14ac:dyDescent="0.25">
      <c r="B24" s="74"/>
      <c r="C24" s="74"/>
      <c r="D24" s="74"/>
      <c r="E24" s="74"/>
      <c r="F24" s="7"/>
      <c r="G24" s="34"/>
      <c r="I24" s="74" t="s">
        <v>60</v>
      </c>
      <c r="J24" s="74"/>
      <c r="K24" s="74"/>
      <c r="L24" s="74"/>
      <c r="M24" s="26" t="s">
        <v>140</v>
      </c>
    </row>
    <row r="25" spans="2:13" x14ac:dyDescent="0.25">
      <c r="B25" s="74"/>
      <c r="C25" s="74"/>
      <c r="D25" s="74"/>
      <c r="E25" s="74"/>
      <c r="F25" s="2"/>
      <c r="G25" s="34"/>
      <c r="I25" s="74" t="s">
        <v>68</v>
      </c>
      <c r="J25" s="74"/>
      <c r="K25" s="74"/>
      <c r="L25" s="74"/>
      <c r="M25" s="2">
        <f>VLOOKUP(M24,PomTab1!N29:P39,3,FALSE)</f>
        <v>1.7294117647058824E-2</v>
      </c>
    </row>
    <row r="26" spans="2:13" x14ac:dyDescent="0.25">
      <c r="B26" s="74"/>
      <c r="C26" s="74"/>
      <c r="D26" s="74"/>
      <c r="E26" s="74"/>
      <c r="G26" s="34"/>
      <c r="I26" s="74" t="s">
        <v>57</v>
      </c>
      <c r="J26" s="74"/>
      <c r="K26" s="74"/>
      <c r="L26" s="74"/>
      <c r="M26" s="8">
        <v>20</v>
      </c>
    </row>
    <row r="27" spans="2:13" x14ac:dyDescent="0.25">
      <c r="B27" s="74"/>
      <c r="C27" s="74"/>
      <c r="D27" s="74"/>
      <c r="E27" s="74"/>
      <c r="G27" s="34"/>
    </row>
    <row r="28" spans="2:13" x14ac:dyDescent="0.25">
      <c r="B28" s="74" t="s">
        <v>9</v>
      </c>
      <c r="C28" s="74"/>
      <c r="D28" s="74"/>
      <c r="E28" s="74"/>
      <c r="F28" s="7">
        <v>200000</v>
      </c>
      <c r="G28" s="34">
        <f>+F28/Investment</f>
        <v>0.16025641025641027</v>
      </c>
      <c r="M28" s="11"/>
    </row>
    <row r="29" spans="2:13" x14ac:dyDescent="0.25">
      <c r="E29" s="4" t="s">
        <v>65</v>
      </c>
      <c r="F29" s="2">
        <f>IF(SUM(F23:F28)&gt;F21,FALSE,SUM(F23:F28))</f>
        <v>200000</v>
      </c>
      <c r="G29" s="34">
        <f>+F29/Investment</f>
        <v>0.16025641025641027</v>
      </c>
      <c r="M29" s="2"/>
    </row>
    <row r="30" spans="2:13" x14ac:dyDescent="0.25">
      <c r="F30" s="2"/>
      <c r="G30" s="34"/>
      <c r="M30" s="11"/>
    </row>
    <row r="31" spans="2:13" x14ac:dyDescent="0.25">
      <c r="E31" s="3" t="s">
        <v>66</v>
      </c>
      <c r="F31" s="2">
        <f>F21-F29</f>
        <v>1048000</v>
      </c>
      <c r="G31" s="34">
        <f>+F31/Investment</f>
        <v>0.83974358974358976</v>
      </c>
    </row>
    <row r="32" spans="2:13" x14ac:dyDescent="0.25">
      <c r="G32" s="35"/>
    </row>
    <row r="33" spans="9:10" hidden="1" x14ac:dyDescent="0.25">
      <c r="I33">
        <v>1</v>
      </c>
      <c r="J33" s="33">
        <f>+I33-1</f>
        <v>0</v>
      </c>
    </row>
  </sheetData>
  <sheetProtection selectLockedCells="1"/>
  <mergeCells count="37">
    <mergeCell ref="F3:I3"/>
    <mergeCell ref="Q8:R9"/>
    <mergeCell ref="Q11:R12"/>
    <mergeCell ref="B27:E27"/>
    <mergeCell ref="B28:E28"/>
    <mergeCell ref="I7:L7"/>
    <mergeCell ref="B23:E23"/>
    <mergeCell ref="B24:E24"/>
    <mergeCell ref="B25:E25"/>
    <mergeCell ref="B26:E26"/>
    <mergeCell ref="B12:E12"/>
    <mergeCell ref="B13:E13"/>
    <mergeCell ref="B19:E19"/>
    <mergeCell ref="B20:E20"/>
    <mergeCell ref="B7:E7"/>
    <mergeCell ref="B9:E9"/>
    <mergeCell ref="B10:E10"/>
    <mergeCell ref="B11:E11"/>
    <mergeCell ref="I9:L9"/>
    <mergeCell ref="I10:L10"/>
    <mergeCell ref="I11:L11"/>
    <mergeCell ref="I12:L12"/>
    <mergeCell ref="I13:L13"/>
    <mergeCell ref="I20:L20"/>
    <mergeCell ref="I19:L19"/>
    <mergeCell ref="I21:L21"/>
    <mergeCell ref="I23:L23"/>
    <mergeCell ref="I24:L24"/>
    <mergeCell ref="I25:L25"/>
    <mergeCell ref="I26:L26"/>
    <mergeCell ref="B14:E14"/>
    <mergeCell ref="B15:E15"/>
    <mergeCell ref="I14:L14"/>
    <mergeCell ref="B16:E16"/>
    <mergeCell ref="B18:E18"/>
    <mergeCell ref="B17:E17"/>
    <mergeCell ref="I22:L22"/>
  </mergeCells>
  <dataValidations xWindow="246" yWindow="498" count="25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>
      <formula1>0</formula1>
      <formula2>10000000</formula2>
    </dataValidation>
    <dataValidation type="whole" allowBlank="1" showInputMessage="1" showErrorMessage="1" errorTitle="Restriction" error="Ne može biti više od 1.000.000 EUR" promptTitle="Installation of TSV &amp; CA" prompt="Troškovi instalacije TS ventila i alokatora troškova" sqref="F12">
      <formula1>0</formula1>
      <formula2>1000000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4 F16 F18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9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20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4:F27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za suve rekuperatore 5% a za rekuperatore u kondenzacionom režimu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type="whole" allowBlank="1" showInputMessage="1" showErrorMessage="1" errorTitle="Restriction" error="Iznos ne može biti veći od 110 EUR/t CO2" promptTitle="CO2TAX" prompt="Preporučuje se iznos 55 EUR/t CO2." sqref="M15:M18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20">
      <formula1>0</formula1>
      <formula2>0.1</formula2>
    </dataValidation>
    <dataValidation allowBlank="1" showInputMessage="1" showErrorMessage="1" errorTitle="Restriction" error="Nije dozvoljen iznos veći od 7.5%" promptTitle="IR" prompt="Preporučuje se društvena diskontna stopa od 6%. Kod finansijskih tokova diskontna stopa je ponderisana sredina kamatnih stopa (prinosa na kapital) uključenih kapitala, gde je ponder iznos uključenih kapitala." sqref="M21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3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6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8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9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30">
      <formula1>1</formula1>
      <formula2>12</formula2>
    </dataValidation>
    <dataValidation type="whole" allowBlank="1" showInputMessage="1" showErrorMessage="1" errorTitle="Restriction" error="Ne mođe biti više od 1.000.000 EUR" promptTitle="Procurement of heat meters" prompt="Nabavka merila toplote" sqref="F15 F17">
      <formula1>0</formula1>
      <formula2>1000000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23 F28">
      <formula1>0</formula1>
      <formula2>1000000</formula2>
    </dataValidation>
    <dataValidation type="whole" allowBlank="1" showInputMessage="1" showErrorMessage="1" errorTitle="Restriction" error="Iznos ne može biti veći od 100.000,00 EUR/a" sqref="M14">
      <formula1>0</formula1>
      <formula2>100000</formula2>
    </dataValidation>
    <dataValidation allowBlank="1" showInputMessage="1" showErrorMessage="1" errorTitle="Restriction" error="Iznos ne može biti veći od 110 EUR/t CO2" promptTitle="CO2TAX" prompt="znos koji je važio na izabrani datum (11. april 2023. godine) jeste 97.,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2"/>
  </dataValidations>
  <hyperlinks>
    <hyperlink ref="Q8:R9" location="Pocetna!M9" display="NAZAD"/>
    <hyperlink ref="Q11:R12" location="Ustede!A2" display="DALJE"/>
  </hyperlinks>
  <pageMargins left="0.7" right="0.7" top="0.75" bottom="0.75" header="0.3" footer="0.3"/>
  <pageSetup paperSize="9" orientation="portrait" r:id="rId1"/>
  <ignoredErrors>
    <ignoredError sqref="M13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xWindow="246" yWindow="498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B23:E28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I13:I18 J13:L13 J15:L18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M24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PomTab1!$H$7:$H$18</xm:f>
          </x14:formula1>
          <xm:sqref>B9:E20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I26:L26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I21:I22 J21:L21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I20:L20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I23:L23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I24:L25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P24"/>
  <sheetViews>
    <sheetView workbookViewId="0">
      <selection activeCell="F13" sqref="F13"/>
    </sheetView>
  </sheetViews>
  <sheetFormatPr defaultRowHeight="15" x14ac:dyDescent="0.25"/>
  <cols>
    <col min="6" max="6" width="12.42578125" customWidth="1"/>
    <col min="7" max="7" width="13.5703125" customWidth="1"/>
    <col min="8" max="10" width="9.140625" customWidth="1"/>
  </cols>
  <sheetData>
    <row r="3" spans="1:16" ht="16.5" x14ac:dyDescent="0.35">
      <c r="F3" s="64" t="s">
        <v>196</v>
      </c>
      <c r="G3" s="64"/>
      <c r="H3" s="64"/>
      <c r="I3" s="64"/>
    </row>
    <row r="7" spans="1:16" ht="21" x14ac:dyDescent="0.35">
      <c r="A7" s="72" t="s">
        <v>61</v>
      </c>
      <c r="B7" s="72"/>
      <c r="C7" s="72"/>
      <c r="D7" s="72"/>
      <c r="E7" s="72"/>
      <c r="F7" s="72"/>
    </row>
    <row r="9" spans="1:16" x14ac:dyDescent="0.25">
      <c r="A9" t="s">
        <v>62</v>
      </c>
      <c r="F9" s="24">
        <v>7000</v>
      </c>
      <c r="G9" s="5" t="s">
        <v>108</v>
      </c>
      <c r="I9">
        <v>1</v>
      </c>
      <c r="J9" s="33">
        <f>+I9-1</f>
        <v>0</v>
      </c>
      <c r="L9" s="68" t="s">
        <v>138</v>
      </c>
      <c r="M9" s="68"/>
      <c r="O9" s="69" t="s">
        <v>139</v>
      </c>
      <c r="P9" s="69"/>
    </row>
    <row r="10" spans="1:16" x14ac:dyDescent="0.25">
      <c r="A10" t="s">
        <v>106</v>
      </c>
      <c r="F10" s="24">
        <v>12080</v>
      </c>
      <c r="G10" s="5" t="s">
        <v>107</v>
      </c>
      <c r="I10">
        <v>1</v>
      </c>
      <c r="J10" s="33">
        <f>+I10-1</f>
        <v>0</v>
      </c>
      <c r="L10" s="68"/>
      <c r="M10" s="68"/>
      <c r="O10" s="69"/>
      <c r="P10" s="69"/>
    </row>
    <row r="11" spans="1:16" ht="15" customHeight="1" x14ac:dyDescent="0.25">
      <c r="A11" t="s">
        <v>119</v>
      </c>
      <c r="F11" s="24">
        <v>56</v>
      </c>
      <c r="G11" s="5" t="s">
        <v>102</v>
      </c>
    </row>
    <row r="12" spans="1:16" ht="15" customHeight="1" x14ac:dyDescent="0.25">
      <c r="A12" t="s">
        <v>122</v>
      </c>
      <c r="F12" s="24">
        <v>60000</v>
      </c>
      <c r="G12" s="5" t="s">
        <v>124</v>
      </c>
    </row>
    <row r="13" spans="1:16" ht="15" customHeight="1" x14ac:dyDescent="0.25">
      <c r="A13" t="s">
        <v>121</v>
      </c>
      <c r="F13" s="24">
        <v>66000</v>
      </c>
      <c r="G13" s="5" t="s">
        <v>124</v>
      </c>
    </row>
    <row r="14" spans="1:16" ht="15" customHeight="1" x14ac:dyDescent="0.25">
      <c r="A14" t="s">
        <v>123</v>
      </c>
      <c r="F14" s="24">
        <f>F13-F12</f>
        <v>6000</v>
      </c>
      <c r="G14" s="5" t="s">
        <v>125</v>
      </c>
    </row>
    <row r="15" spans="1:16" ht="15" customHeight="1" x14ac:dyDescent="0.25">
      <c r="A15" t="s">
        <v>126</v>
      </c>
      <c r="F15" s="24">
        <f>CirkP/(1000*F11)</f>
        <v>2.2499999999999999E-2</v>
      </c>
      <c r="G15" s="5" t="s">
        <v>127</v>
      </c>
      <c r="J15" s="33"/>
    </row>
    <row r="16" spans="1:16" ht="15" customHeight="1" x14ac:dyDescent="0.25">
      <c r="F16" s="24"/>
      <c r="G16" s="5"/>
    </row>
    <row r="17" spans="1:9" ht="15" customHeight="1" x14ac:dyDescent="0.25">
      <c r="A17" t="s">
        <v>120</v>
      </c>
      <c r="F17" s="24">
        <v>1260</v>
      </c>
      <c r="G17" s="5" t="s">
        <v>105</v>
      </c>
      <c r="H17" s="23"/>
    </row>
    <row r="18" spans="1:9" ht="15" customHeight="1" x14ac:dyDescent="0.25">
      <c r="A18" t="s">
        <v>103</v>
      </c>
      <c r="F18" s="25">
        <v>7.0000000000000007E-2</v>
      </c>
      <c r="G18" s="5" t="s">
        <v>104</v>
      </c>
      <c r="H18" s="23"/>
    </row>
    <row r="20" spans="1:9" x14ac:dyDescent="0.25">
      <c r="A20" t="s">
        <v>129</v>
      </c>
      <c r="F20" s="27">
        <f>F14/(1-etagrid)</f>
        <v>6451.6129032258068</v>
      </c>
      <c r="G20" s="5" t="s">
        <v>124</v>
      </c>
      <c r="I20" s="36"/>
    </row>
    <row r="21" spans="1:9" x14ac:dyDescent="0.25">
      <c r="A21" t="s">
        <v>128</v>
      </c>
      <c r="F21" s="27">
        <f>F20*F15</f>
        <v>145.16129032258064</v>
      </c>
      <c r="G21" s="5" t="s">
        <v>124</v>
      </c>
    </row>
    <row r="22" spans="1:9" x14ac:dyDescent="0.25">
      <c r="A22" t="s">
        <v>63</v>
      </c>
      <c r="F22" s="27">
        <f>(F20*F9*(1-etagrid)+F21*ElEn)/Kurs_EUR</f>
        <v>372405.48806353594</v>
      </c>
      <c r="G22" s="5" t="s">
        <v>25</v>
      </c>
      <c r="I22" s="36"/>
    </row>
    <row r="23" spans="1:9" x14ac:dyDescent="0.25">
      <c r="A23" t="s">
        <v>130</v>
      </c>
      <c r="F23" s="28">
        <f>SUM(KonvFaktor!E21)</f>
        <v>1.7294117647058824E-2</v>
      </c>
      <c r="G23" s="5" t="s">
        <v>133</v>
      </c>
      <c r="I23" s="36"/>
    </row>
    <row r="24" spans="1:9" x14ac:dyDescent="0.25">
      <c r="A24" t="s">
        <v>131</v>
      </c>
      <c r="F24" s="27">
        <f>PomTab1!P33</f>
        <v>0.8</v>
      </c>
      <c r="G24" s="5" t="s">
        <v>132</v>
      </c>
    </row>
  </sheetData>
  <sheetProtection selectLockedCells="1"/>
  <mergeCells count="4">
    <mergeCell ref="A7:F7"/>
    <mergeCell ref="L9:M10"/>
    <mergeCell ref="O9:P10"/>
    <mergeCell ref="F3:I3"/>
  </mergeCells>
  <hyperlinks>
    <hyperlink ref="L9:M10" location="UnosPodataka!O3" display="NAZAD"/>
    <hyperlink ref="O9:P10" location="Anuiteti!B2" display="DALJ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G22" sqref="G22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E3" s="64" t="s">
        <v>196</v>
      </c>
      <c r="F3" s="64"/>
      <c r="G3" s="64"/>
      <c r="H3" s="64"/>
    </row>
    <row r="7" spans="2:13" ht="21" x14ac:dyDescent="0.35">
      <c r="B7" s="72" t="s">
        <v>69</v>
      </c>
      <c r="C7" s="72"/>
      <c r="D7" s="72"/>
      <c r="E7" s="72"/>
      <c r="F7" s="72"/>
      <c r="G7" s="72"/>
    </row>
    <row r="9" spans="2:13" x14ac:dyDescent="0.25">
      <c r="B9" t="s">
        <v>100</v>
      </c>
      <c r="D9" s="5" t="s">
        <v>1</v>
      </c>
      <c r="E9" s="12">
        <f>LOAN</f>
        <v>1048000</v>
      </c>
      <c r="I9" s="68" t="s">
        <v>138</v>
      </c>
      <c r="J9" s="68"/>
      <c r="L9" s="69" t="s">
        <v>139</v>
      </c>
      <c r="M9" s="69"/>
    </row>
    <row r="10" spans="2:13" x14ac:dyDescent="0.25">
      <c r="I10" s="68"/>
      <c r="J10" s="68"/>
      <c r="L10" s="69"/>
      <c r="M10" s="69"/>
    </row>
    <row r="11" spans="2:13" x14ac:dyDescent="0.25">
      <c r="B11" s="13" t="s">
        <v>26</v>
      </c>
      <c r="C11" s="13" t="s">
        <v>70</v>
      </c>
      <c r="D11" s="13" t="s">
        <v>71</v>
      </c>
      <c r="E11" s="13" t="s">
        <v>72</v>
      </c>
    </row>
    <row r="13" spans="2:13" x14ac:dyDescent="0.25">
      <c r="B13">
        <v>1</v>
      </c>
      <c r="C13" s="2">
        <f>E9</f>
        <v>1048000</v>
      </c>
      <c r="D13" s="2">
        <f>IF(UnosPodataka!M21=0,"",UnosPodataka!$M$21*Anuiteti!$E$9)</f>
        <v>125760</v>
      </c>
      <c r="E13" s="2">
        <f>PMT(UnosPodataka!$M$21,UnosPodataka!$M$23,Anuiteti!$E$9)</f>
        <v>-185479.40403951661</v>
      </c>
    </row>
    <row r="14" spans="2:13" x14ac:dyDescent="0.25">
      <c r="B14">
        <f>IF(B13&lt;UnosPodataka!$M$23,B13+1,"")</f>
        <v>2</v>
      </c>
      <c r="C14" s="2">
        <f>IF(B14&lt;&gt;"",SUM(C13:E13),"")</f>
        <v>988280.59596048342</v>
      </c>
      <c r="D14" s="2">
        <f>IF(B14&lt;&gt;"",C14*UnosPodataka!$M$21,"")</f>
        <v>118593.671515258</v>
      </c>
      <c r="E14" s="2">
        <f>IF(B14&lt;&gt;"",PMT(UnosPodataka!$M$21,UnosPodataka!$M$23,Anuiteti!$E$9),"")</f>
        <v>-185479.40403951661</v>
      </c>
    </row>
    <row r="15" spans="2:13" x14ac:dyDescent="0.25">
      <c r="B15">
        <f>IF(B14&lt;UnosPodataka!$M$23,B14+1,"")</f>
        <v>3</v>
      </c>
      <c r="C15" s="2">
        <f t="shared" ref="C15:C32" si="0">IF(B15&lt;&gt;"",SUM(C14:E14),"")</f>
        <v>921394.86343622487</v>
      </c>
      <c r="D15" s="2">
        <f>IF(B15&lt;&gt;"",C15*UnosPodataka!$M$21,"")</f>
        <v>110567.38361234698</v>
      </c>
      <c r="E15" s="2">
        <f>IF(B15&lt;&gt;"",PMT(UnosPodataka!$M$21,UnosPodataka!$M$23,Anuiteti!$E$9),"")</f>
        <v>-185479.40403951661</v>
      </c>
    </row>
    <row r="16" spans="2:13" x14ac:dyDescent="0.25">
      <c r="B16">
        <f>IF(B15&lt;UnosPodataka!$M$23,B15+1,"")</f>
        <v>4</v>
      </c>
      <c r="C16" s="2">
        <f t="shared" si="0"/>
        <v>846482.84300905524</v>
      </c>
      <c r="D16" s="2">
        <f>IF(B16&lt;&gt;"",C16*UnosPodataka!$M$21,"")</f>
        <v>101577.94116108662</v>
      </c>
      <c r="E16" s="2">
        <f>IF(B16&lt;&gt;"",PMT(UnosPodataka!$M$21,UnosPodataka!$M$23,Anuiteti!$E$9),"")</f>
        <v>-185479.40403951661</v>
      </c>
    </row>
    <row r="17" spans="2:5" x14ac:dyDescent="0.25">
      <c r="B17">
        <f>IF(B16&lt;UnosPodataka!$M$23,B16+1,"")</f>
        <v>5</v>
      </c>
      <c r="C17" s="2">
        <f t="shared" si="0"/>
        <v>762581.38013062533</v>
      </c>
      <c r="D17" s="2">
        <f>IF(B17&lt;&gt;"",C17*UnosPodataka!$M$21,"")</f>
        <v>91509.765615675031</v>
      </c>
      <c r="E17" s="2">
        <f>IF(B17&lt;&gt;"",PMT(UnosPodataka!$M$21,UnosPodataka!$M$23,Anuiteti!$E$9),"")</f>
        <v>-185479.40403951661</v>
      </c>
    </row>
    <row r="18" spans="2:5" x14ac:dyDescent="0.25">
      <c r="B18">
        <f>IF(B17&lt;UnosPodataka!$M$23,B17+1,"")</f>
        <v>6</v>
      </c>
      <c r="C18" s="2">
        <f t="shared" si="0"/>
        <v>668611.74170678377</v>
      </c>
      <c r="D18" s="2">
        <f>IF(B18&lt;&gt;"",C18*UnosPodataka!$M$21,"")</f>
        <v>80233.40900481405</v>
      </c>
      <c r="E18" s="2">
        <f>IF(B18&lt;&gt;"",PMT(UnosPodataka!$M$21,UnosPodataka!$M$23,Anuiteti!$E$9),"")</f>
        <v>-185479.40403951661</v>
      </c>
    </row>
    <row r="19" spans="2:5" x14ac:dyDescent="0.25">
      <c r="B19">
        <f>IF(B18&lt;UnosPodataka!$M$23,B18+1,"")</f>
        <v>7</v>
      </c>
      <c r="C19" s="2">
        <f t="shared" si="0"/>
        <v>563365.7466720813</v>
      </c>
      <c r="D19" s="2">
        <f>IF(B19&lt;&gt;"",C19*UnosPodataka!$M$21,"")</f>
        <v>67603.889600649753</v>
      </c>
      <c r="E19" s="2">
        <f>IF(B19&lt;&gt;"",PMT(UnosPodataka!$M$21,UnosPodataka!$M$23,Anuiteti!$E$9),"")</f>
        <v>-185479.40403951661</v>
      </c>
    </row>
    <row r="20" spans="2:5" x14ac:dyDescent="0.25">
      <c r="B20">
        <f>IF(B19&lt;UnosPodataka!$M$23,B19+1,"")</f>
        <v>8</v>
      </c>
      <c r="C20" s="2">
        <f t="shared" si="0"/>
        <v>445490.23223321442</v>
      </c>
      <c r="D20" s="2">
        <f>IF(B20&lt;&gt;"",C20*UnosPodataka!$M$21,"")</f>
        <v>53458.827867985732</v>
      </c>
      <c r="E20" s="2">
        <f>IF(B20&lt;&gt;"",PMT(UnosPodataka!$M$21,UnosPodataka!$M$23,Anuiteti!$E$9),"")</f>
        <v>-185479.40403951661</v>
      </c>
    </row>
    <row r="21" spans="2:5" x14ac:dyDescent="0.25">
      <c r="B21">
        <f>IF(B20&lt;UnosPodataka!$M$23,B20+1,"")</f>
        <v>9</v>
      </c>
      <c r="C21" s="2">
        <f t="shared" si="0"/>
        <v>313469.65606168355</v>
      </c>
      <c r="D21" s="2">
        <f>IF(B21&lt;&gt;"",C21*UnosPodataka!$M$21,"")</f>
        <v>37616.358727402025</v>
      </c>
      <c r="E21" s="2">
        <f>IF(B21&lt;&gt;"",PMT(UnosPodataka!$M$21,UnosPodataka!$M$23,Anuiteti!$E$9),"")</f>
        <v>-185479.40403951661</v>
      </c>
    </row>
    <row r="22" spans="2:5" x14ac:dyDescent="0.25">
      <c r="B22">
        <f>IF(B21&lt;UnosPodataka!$M$23,B21+1,"")</f>
        <v>10</v>
      </c>
      <c r="C22" s="2">
        <f t="shared" si="0"/>
        <v>165606.61074956899</v>
      </c>
      <c r="D22" s="2">
        <f>IF(B22&lt;&gt;"",C22*UnosPodataka!$M$21,"")</f>
        <v>19872.79328994828</v>
      </c>
      <c r="E22" s="2">
        <f>IF(B22&lt;&gt;"",PMT(UnosPodataka!$M$21,UnosPodataka!$M$23,Anuiteti!$E$9),"")</f>
        <v>-185479.40403951661</v>
      </c>
    </row>
    <row r="23" spans="2:5" x14ac:dyDescent="0.25">
      <c r="B23" t="str">
        <f>IF(B22&lt;UnosPodataka!$M$23,B22+1,"")</f>
        <v/>
      </c>
      <c r="C23" s="2" t="str">
        <f t="shared" si="0"/>
        <v/>
      </c>
      <c r="D23" s="2" t="str">
        <f>IF(B23&lt;&gt;"",C23*UnosPodataka!$M$21,"")</f>
        <v/>
      </c>
      <c r="E23" s="2" t="str">
        <f>IF(B23&lt;&gt;"",PMT(UnosPodataka!$M$21,UnosPodataka!$M$23,Anuiteti!$E$9),"")</f>
        <v/>
      </c>
    </row>
    <row r="24" spans="2:5" x14ac:dyDescent="0.25">
      <c r="B24" t="str">
        <f>IF(B23&lt;UnosPodataka!$M$23,B23+1,"")</f>
        <v/>
      </c>
      <c r="C24" s="2" t="str">
        <f t="shared" si="0"/>
        <v/>
      </c>
      <c r="D24" s="2" t="str">
        <f>IF(B24&lt;&gt;"",C24*UnosPodataka!$M$21,"")</f>
        <v/>
      </c>
      <c r="E24" s="2" t="str">
        <f>IF(B24&lt;&gt;"",PMT(UnosPodataka!$M$21,UnosPodataka!$M$23,Anuiteti!$E$9),"")</f>
        <v/>
      </c>
    </row>
    <row r="25" spans="2:5" x14ac:dyDescent="0.25">
      <c r="B25" t="str">
        <f>IF(B24&lt;UnosPodataka!$M$23,B24+1,"")</f>
        <v/>
      </c>
      <c r="C25" s="2" t="str">
        <f t="shared" si="0"/>
        <v/>
      </c>
      <c r="D25" s="2" t="str">
        <f>IF(B25&lt;&gt;"",C25*UnosPodataka!$M$21,"")</f>
        <v/>
      </c>
      <c r="E25" s="2" t="str">
        <f>IF(B25&lt;&gt;"",PMT(UnosPodataka!$M$21,UnosPodataka!$M$23,Anuiteti!$E$9),"")</f>
        <v/>
      </c>
    </row>
    <row r="26" spans="2:5" x14ac:dyDescent="0.25">
      <c r="B26" t="str">
        <f>IF(B25&lt;UnosPodataka!$M$23,B25+1,"")</f>
        <v/>
      </c>
      <c r="C26" s="2" t="str">
        <f t="shared" si="0"/>
        <v/>
      </c>
      <c r="D26" s="2" t="str">
        <f>IF(B26&lt;&gt;"",C26*UnosPodataka!$M$21,"")</f>
        <v/>
      </c>
      <c r="E26" s="2" t="str">
        <f>IF(B26&lt;&gt;"",PMT(UnosPodataka!$M$21,UnosPodataka!$M$23,Anuiteti!$E$9),"")</f>
        <v/>
      </c>
    </row>
    <row r="27" spans="2:5" x14ac:dyDescent="0.25">
      <c r="B27" t="str">
        <f>IF(B26&lt;UnosPodataka!$M$23,B26+1,"")</f>
        <v/>
      </c>
      <c r="C27" s="2" t="str">
        <f t="shared" si="0"/>
        <v/>
      </c>
      <c r="D27" s="2" t="str">
        <f>IF(B27&lt;&gt;"",C27*UnosPodataka!$M$21,"")</f>
        <v/>
      </c>
      <c r="E27" s="2" t="str">
        <f>IF(B27&lt;&gt;"",PMT(UnosPodataka!$M$21,UnosPodataka!$M$23,Anuiteti!$E$9),"")</f>
        <v/>
      </c>
    </row>
    <row r="28" spans="2:5" x14ac:dyDescent="0.25">
      <c r="B28" t="str">
        <f>IF(B27&lt;UnosPodataka!$M$23,B27+1,"")</f>
        <v/>
      </c>
      <c r="C28" s="2" t="str">
        <f t="shared" si="0"/>
        <v/>
      </c>
      <c r="D28" s="2" t="str">
        <f>IF(B28&lt;&gt;"",C28*UnosPodataka!$M$21,"")</f>
        <v/>
      </c>
      <c r="E28" s="2" t="str">
        <f>IF(B28&lt;&gt;"",PMT(UnosPodataka!$M$21,UnosPodataka!$M$23,Anuiteti!$E$9),"")</f>
        <v/>
      </c>
    </row>
    <row r="29" spans="2:5" x14ac:dyDescent="0.25">
      <c r="B29" t="str">
        <f>IF(B28&lt;UnosPodataka!$M$23,B28+1,"")</f>
        <v/>
      </c>
      <c r="C29" s="2" t="str">
        <f t="shared" si="0"/>
        <v/>
      </c>
      <c r="D29" s="2" t="str">
        <f>IF(B29&lt;&gt;"",C29*UnosPodataka!$M$21,"")</f>
        <v/>
      </c>
      <c r="E29" s="2" t="str">
        <f>IF(B29&lt;&gt;"",PMT(UnosPodataka!$M$21,UnosPodataka!$M$23,Anuiteti!$E$9),"")</f>
        <v/>
      </c>
    </row>
    <row r="30" spans="2:5" x14ac:dyDescent="0.25">
      <c r="B30" t="str">
        <f>IF(B29&lt;UnosPodataka!$M$23,B29+1,"")</f>
        <v/>
      </c>
      <c r="C30" s="2" t="str">
        <f t="shared" si="0"/>
        <v/>
      </c>
      <c r="D30" s="2" t="str">
        <f>IF(B30&lt;&gt;"",C30*UnosPodataka!$M$21,"")</f>
        <v/>
      </c>
      <c r="E30" s="2" t="str">
        <f>IF(B30&lt;&gt;"",PMT(UnosPodataka!$M$21,UnosPodataka!$M$23,Anuiteti!$E$9),"")</f>
        <v/>
      </c>
    </row>
    <row r="31" spans="2:5" x14ac:dyDescent="0.25">
      <c r="B31" t="str">
        <f>IF(B30&lt;UnosPodataka!$M$23,B30+1,"")</f>
        <v/>
      </c>
      <c r="C31" s="2" t="str">
        <f t="shared" si="0"/>
        <v/>
      </c>
      <c r="D31" s="2" t="str">
        <f>IF(B31&lt;&gt;"",C31*UnosPodataka!$M$21,"")</f>
        <v/>
      </c>
      <c r="E31" s="2" t="str">
        <f>IF(B31&lt;&gt;"",PMT(UnosPodataka!$M$21,UnosPodataka!$M$23,Anuiteti!$E$9),"")</f>
        <v/>
      </c>
    </row>
    <row r="32" spans="2:5" x14ac:dyDescent="0.25">
      <c r="B32" t="str">
        <f>IF(B31&lt;UnosPodataka!$M$23,B31+1,"")</f>
        <v/>
      </c>
      <c r="C32" s="2" t="str">
        <f t="shared" si="0"/>
        <v/>
      </c>
      <c r="D32" s="2" t="str">
        <f>IF(B32&lt;&gt;"",C32*UnosPodataka!$M$21,"")</f>
        <v/>
      </c>
      <c r="E32" s="2" t="str">
        <f>IF(B32&lt;&gt;"",PMT(UnosPodataka!$M$21,UnosPodataka!$M$23,Anuiteti!$E$9),"")</f>
        <v/>
      </c>
    </row>
  </sheetData>
  <sheetProtection selectLockedCells="1" selectUnlockedCells="1"/>
  <mergeCells count="4">
    <mergeCell ref="B7:G7"/>
    <mergeCell ref="I9:J10"/>
    <mergeCell ref="L9:M10"/>
    <mergeCell ref="E3:H3"/>
  </mergeCells>
  <hyperlinks>
    <hyperlink ref="I9:J10" location="Ustede!J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0"/>
  <sheetViews>
    <sheetView showZeros="0" zoomScale="80" zoomScaleNormal="80" workbookViewId="0">
      <selection activeCell="F15" sqref="F15"/>
    </sheetView>
  </sheetViews>
  <sheetFormatPr defaultRowHeight="15" x14ac:dyDescent="0.25"/>
  <cols>
    <col min="4" max="4" width="14" customWidth="1"/>
    <col min="5" max="5" width="13.28515625" customWidth="1"/>
    <col min="6" max="7" width="13.85546875" customWidth="1"/>
    <col min="8" max="9" width="13.42578125" customWidth="1"/>
    <col min="10" max="10" width="14.42578125" customWidth="1"/>
    <col min="11" max="11" width="13.85546875" customWidth="1"/>
    <col min="12" max="12" width="13.140625" customWidth="1"/>
    <col min="13" max="13" width="13.42578125" customWidth="1"/>
    <col min="14" max="14" width="14.7109375" customWidth="1"/>
    <col min="15" max="15" width="14" customWidth="1"/>
    <col min="16" max="16" width="14.7109375" customWidth="1"/>
    <col min="17" max="18" width="13.140625" customWidth="1"/>
    <col min="19" max="19" width="13.28515625" customWidth="1"/>
    <col min="20" max="20" width="14.5703125" customWidth="1"/>
    <col min="21" max="21" width="14.28515625" customWidth="1"/>
    <col min="22" max="22" width="13.140625" customWidth="1"/>
    <col min="23" max="23" width="13" customWidth="1"/>
    <col min="24" max="25" width="13.5703125" customWidth="1"/>
  </cols>
  <sheetData>
    <row r="3" spans="1:25" ht="16.5" x14ac:dyDescent="0.35">
      <c r="F3" s="64" t="s">
        <v>196</v>
      </c>
      <c r="G3" s="64"/>
      <c r="H3" s="64"/>
      <c r="I3" s="64"/>
    </row>
    <row r="7" spans="1:25" ht="21" x14ac:dyDescent="0.35">
      <c r="A7" s="72" t="s">
        <v>73</v>
      </c>
      <c r="B7" s="72"/>
      <c r="C7" s="72"/>
      <c r="D7" s="72"/>
      <c r="I7" s="68" t="s">
        <v>138</v>
      </c>
      <c r="J7" s="68"/>
      <c r="N7" s="69" t="s">
        <v>139</v>
      </c>
      <c r="O7" s="69"/>
    </row>
    <row r="9" spans="1:25" x14ac:dyDescent="0.25">
      <c r="A9" s="67" t="s">
        <v>57</v>
      </c>
      <c r="B9" s="67"/>
      <c r="C9" s="67"/>
      <c r="D9" s="67"/>
      <c r="E9" s="13">
        <v>0</v>
      </c>
      <c r="F9" s="13">
        <v>1</v>
      </c>
      <c r="G9" s="13">
        <f>IF(F9&lt;UnosPodataka!$M$26,FinaIndicators!F9+1,"")</f>
        <v>2</v>
      </c>
      <c r="H9" s="13">
        <f>IF(G9&lt;UnosPodataka!$M$26,FinaIndicators!G9+1,"")</f>
        <v>3</v>
      </c>
      <c r="I9" s="13">
        <f>IF(H9&lt;UnosPodataka!$M$26,FinaIndicators!H9+1,"")</f>
        <v>4</v>
      </c>
      <c r="J9" s="13">
        <f>IF(I9&lt;UnosPodataka!$M$26,FinaIndicators!I9+1,"")</f>
        <v>5</v>
      </c>
      <c r="K9" s="13">
        <f>IF(J9&lt;UnosPodataka!$M$26,FinaIndicators!J9+1,"")</f>
        <v>6</v>
      </c>
      <c r="L9" s="13">
        <f>IF(K9&lt;UnosPodataka!$M$26,FinaIndicators!K9+1,"")</f>
        <v>7</v>
      </c>
      <c r="M9" s="13">
        <f>IF(L9&lt;UnosPodataka!$M$26,FinaIndicators!L9+1,"")</f>
        <v>8</v>
      </c>
      <c r="N9" s="13">
        <f>IF(M9&lt;UnosPodataka!$M$26,FinaIndicators!M9+1,"")</f>
        <v>9</v>
      </c>
      <c r="O9" s="13">
        <f>IF(N9&lt;UnosPodataka!$M$26,FinaIndicators!N9+1,"")</f>
        <v>10</v>
      </c>
      <c r="P9" s="13">
        <f>IF(O9&lt;UnosPodataka!$M$26,FinaIndicators!O9+1,"")</f>
        <v>11</v>
      </c>
      <c r="Q9" s="13">
        <f>IF(P9&lt;UnosPodataka!$M$26,FinaIndicators!P9+1,"")</f>
        <v>12</v>
      </c>
      <c r="R9" s="13">
        <f>IF(Q9&lt;UnosPodataka!$M$26,FinaIndicators!Q9+1,"")</f>
        <v>13</v>
      </c>
      <c r="S9" s="13">
        <f>IF(R9&lt;UnosPodataka!$M$26,FinaIndicators!R9+1,"")</f>
        <v>14</v>
      </c>
      <c r="T9" s="13">
        <f>IF(S9&lt;UnosPodataka!$M$26,FinaIndicators!S9+1,"")</f>
        <v>15</v>
      </c>
      <c r="U9" s="13">
        <f>IF(T9&lt;UnosPodataka!$M$26,FinaIndicators!T9+1,"")</f>
        <v>16</v>
      </c>
      <c r="V9" s="13">
        <f>IF(U9&lt;UnosPodataka!$M$26,FinaIndicators!U9+1,"")</f>
        <v>17</v>
      </c>
      <c r="W9" s="13">
        <f>IF(V9&lt;UnosPodataka!$M$26,FinaIndicators!V9+1,"")</f>
        <v>18</v>
      </c>
      <c r="X9" s="13">
        <f>IF(W9&lt;UnosPodataka!$M$26,FinaIndicators!W9+1,"")</f>
        <v>19</v>
      </c>
      <c r="Y9" s="13">
        <f>IF(X9&lt;UnosPodataka!$M$26,FinaIndicators!X9+1,"")</f>
        <v>20</v>
      </c>
    </row>
    <row r="11" spans="1:25" x14ac:dyDescent="0.25">
      <c r="A11" s="74" t="s">
        <v>74</v>
      </c>
      <c r="B11" s="74"/>
      <c r="C11" s="74"/>
      <c r="D11" s="74"/>
      <c r="E11" s="2">
        <f>LOAN</f>
        <v>1048000</v>
      </c>
    </row>
    <row r="12" spans="1:25" x14ac:dyDescent="0.25">
      <c r="A12" s="74" t="s">
        <v>75</v>
      </c>
      <c r="B12" s="74"/>
      <c r="C12" s="74"/>
      <c r="D12" s="74"/>
      <c r="E12" s="2">
        <f>IF(Equity=0,LOAN,Equity)</f>
        <v>200000</v>
      </c>
    </row>
    <row r="13" spans="1:25" x14ac:dyDescent="0.25">
      <c r="A13" s="74" t="s">
        <v>155</v>
      </c>
      <c r="B13" s="74"/>
      <c r="C13" s="74"/>
      <c r="D13" s="74"/>
    </row>
    <row r="14" spans="1:25" x14ac:dyDescent="0.25">
      <c r="A14" s="74" t="s">
        <v>134</v>
      </c>
      <c r="B14" s="74"/>
      <c r="C14" s="74"/>
      <c r="D14" s="74"/>
      <c r="F14" s="2">
        <f>IF(F9&lt;&gt;"",Ustede!$F$20,"")</f>
        <v>6451.6129032258068</v>
      </c>
      <c r="G14" s="2">
        <f>IF(G9&lt;&gt;"",Ustede!$F$20,"")</f>
        <v>6451.6129032258068</v>
      </c>
      <c r="H14" s="2">
        <f>IF(H9&lt;&gt;"",Ustede!$F$20,"")</f>
        <v>6451.6129032258068</v>
      </c>
      <c r="I14" s="2">
        <f>IF(I9&lt;&gt;"",Ustede!$F$20,"")</f>
        <v>6451.6129032258068</v>
      </c>
      <c r="J14" s="2">
        <f>IF(J9&lt;&gt;"",Ustede!$F$20,"")</f>
        <v>6451.6129032258068</v>
      </c>
      <c r="K14" s="2">
        <f>IF(K9&lt;&gt;"",Ustede!$F$20,"")</f>
        <v>6451.6129032258068</v>
      </c>
      <c r="L14" s="2">
        <f>IF(L9&lt;&gt;"",Ustede!$F$20,"")</f>
        <v>6451.6129032258068</v>
      </c>
      <c r="M14" s="2">
        <f>IF(M9&lt;&gt;"",Ustede!$F$20,"")</f>
        <v>6451.6129032258068</v>
      </c>
      <c r="N14" s="2">
        <f>IF(N9&lt;&gt;"",Ustede!$F$20,"")</f>
        <v>6451.6129032258068</v>
      </c>
      <c r="O14" s="2">
        <f>IF(O9&lt;&gt;"",Ustede!$F$20,"")</f>
        <v>6451.6129032258068</v>
      </c>
      <c r="P14" s="2">
        <f>IF(P9&lt;&gt;"",Ustede!$F$20,"")</f>
        <v>6451.6129032258068</v>
      </c>
      <c r="Q14" s="2">
        <f>IF(Q9&lt;&gt;"",Ustede!$F$20,"")</f>
        <v>6451.6129032258068</v>
      </c>
      <c r="R14" s="2">
        <f>IF(R9&lt;&gt;"",Ustede!$F$20,"")</f>
        <v>6451.6129032258068</v>
      </c>
      <c r="S14" s="2">
        <f>IF(S9&lt;&gt;"",Ustede!$F$20,"")</f>
        <v>6451.6129032258068</v>
      </c>
      <c r="T14" s="2">
        <f>IF(T9&lt;&gt;"",Ustede!$F$20,"")</f>
        <v>6451.6129032258068</v>
      </c>
      <c r="U14" s="2">
        <f>IF(U9&lt;&gt;"",Ustede!$F$20,"")</f>
        <v>6451.6129032258068</v>
      </c>
      <c r="V14" s="2">
        <f>IF(V9&lt;&gt;"",Ustede!$F$20,"")</f>
        <v>6451.6129032258068</v>
      </c>
      <c r="W14" s="2">
        <f>IF(W9&lt;&gt;"",Ustede!$F$20,"")</f>
        <v>6451.6129032258068</v>
      </c>
      <c r="X14" s="2">
        <f>IF(X9&lt;&gt;"",Ustede!$F$20,"")</f>
        <v>6451.6129032258068</v>
      </c>
      <c r="Y14" s="2">
        <f>IF(Y9&lt;&gt;"",Ustede!$F$20,"")</f>
        <v>6451.6129032258068</v>
      </c>
    </row>
    <row r="15" spans="1:25" x14ac:dyDescent="0.25">
      <c r="A15" s="22" t="s">
        <v>135</v>
      </c>
      <c r="B15" s="22"/>
      <c r="C15" s="22"/>
      <c r="D15" s="22"/>
      <c r="F15" s="2">
        <f>IF(F9&lt;&gt;"",Ustede!$F$21,"")</f>
        <v>145.16129032258064</v>
      </c>
      <c r="G15" s="2">
        <f>IF(G9&lt;&gt;"",Ustede!$F$21,"")</f>
        <v>145.16129032258064</v>
      </c>
      <c r="H15" s="2">
        <f>IF(H9&lt;&gt;"",Ustede!$F$21,"")</f>
        <v>145.16129032258064</v>
      </c>
      <c r="I15" s="2">
        <f>IF(I9&lt;&gt;"",Ustede!$F$21,"")</f>
        <v>145.16129032258064</v>
      </c>
      <c r="J15" s="2">
        <f>IF(J9&lt;&gt;"",Ustede!$F$21,"")</f>
        <v>145.16129032258064</v>
      </c>
      <c r="K15" s="2">
        <f>IF(K9&lt;&gt;"",Ustede!$F$21,"")</f>
        <v>145.16129032258064</v>
      </c>
      <c r="L15" s="2">
        <f>IF(L9&lt;&gt;"",Ustede!$F$21,"")</f>
        <v>145.16129032258064</v>
      </c>
      <c r="M15" s="2">
        <f>IF(M9&lt;&gt;"",Ustede!$F$21,"")</f>
        <v>145.16129032258064</v>
      </c>
      <c r="N15" s="2">
        <f>IF(N9&lt;&gt;"",Ustede!$F$21,"")</f>
        <v>145.16129032258064</v>
      </c>
      <c r="O15" s="2">
        <f>IF(O9&lt;&gt;"",Ustede!$F$21,"")</f>
        <v>145.16129032258064</v>
      </c>
      <c r="P15" s="2">
        <f>IF(P9&lt;&gt;"",Ustede!$F$21,"")</f>
        <v>145.16129032258064</v>
      </c>
      <c r="Q15" s="2">
        <f>IF(Q9&lt;&gt;"",Ustede!$F$21,"")</f>
        <v>145.16129032258064</v>
      </c>
      <c r="R15" s="2">
        <f>IF(R9&lt;&gt;"",Ustede!$F$21,"")</f>
        <v>145.16129032258064</v>
      </c>
      <c r="S15" s="2">
        <f>IF(S9&lt;&gt;"",Ustede!$F$21,"")</f>
        <v>145.16129032258064</v>
      </c>
      <c r="T15" s="2">
        <f>IF(T9&lt;&gt;"",Ustede!$F$21,"")</f>
        <v>145.16129032258064</v>
      </c>
      <c r="U15" s="2">
        <f>IF(U9&lt;&gt;"",Ustede!$F$21,"")</f>
        <v>145.16129032258064</v>
      </c>
      <c r="V15" s="2">
        <f>IF(V9&lt;&gt;"",Ustede!$F$21,"")</f>
        <v>145.16129032258064</v>
      </c>
      <c r="W15" s="2">
        <f>IF(W9&lt;&gt;"",Ustede!$F$21,"")</f>
        <v>145.16129032258064</v>
      </c>
      <c r="X15" s="2">
        <f>IF(X9&lt;&gt;"",Ustede!$F$21,"")</f>
        <v>145.16129032258064</v>
      </c>
      <c r="Y15" s="2">
        <f>IF(Y9&lt;&gt;"",Ustede!$F$21,"")</f>
        <v>145.16129032258064</v>
      </c>
    </row>
    <row r="16" spans="1:25" x14ac:dyDescent="0.25">
      <c r="A16" s="22"/>
      <c r="B16" s="22"/>
      <c r="C16" s="22"/>
      <c r="D16" s="2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67" t="s">
        <v>162</v>
      </c>
      <c r="B17" s="67"/>
      <c r="C17" s="67"/>
      <c r="D17" s="6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x14ac:dyDescent="0.25">
      <c r="A18" s="74" t="s">
        <v>76</v>
      </c>
      <c r="B18" s="74"/>
      <c r="C18" s="74"/>
      <c r="D18" s="74"/>
      <c r="F18" s="2">
        <f>IF(F9&lt;&gt;"",Ustede!$F$22,"")</f>
        <v>372405.48806353594</v>
      </c>
      <c r="G18" s="2">
        <f>IF(G9&lt;&gt;"",Ustede!$F$22,"")</f>
        <v>372405.48806353594</v>
      </c>
      <c r="H18" s="2">
        <f>IF(H9&lt;&gt;"",Ustede!$F$22,"")</f>
        <v>372405.48806353594</v>
      </c>
      <c r="I18" s="2">
        <f>IF(I9&lt;&gt;"",Ustede!$F$22,"")</f>
        <v>372405.48806353594</v>
      </c>
      <c r="J18" s="2">
        <f>IF(J9&lt;&gt;"",Ustede!$F$22,"")</f>
        <v>372405.48806353594</v>
      </c>
      <c r="K18" s="2">
        <f>IF(K9&lt;&gt;"",Ustede!$F$22,"")</f>
        <v>372405.48806353594</v>
      </c>
      <c r="L18" s="2">
        <f>IF(L9&lt;&gt;"",Ustede!$F$22,"")</f>
        <v>372405.48806353594</v>
      </c>
      <c r="M18" s="2">
        <f>IF(M9&lt;&gt;"",Ustede!$F$22,"")</f>
        <v>372405.48806353594</v>
      </c>
      <c r="N18" s="2">
        <f>IF(N9&lt;&gt;"",Ustede!$F$22,"")</f>
        <v>372405.48806353594</v>
      </c>
      <c r="O18" s="2">
        <f>IF(O9&lt;&gt;"",Ustede!$F$22,"")</f>
        <v>372405.48806353594</v>
      </c>
      <c r="P18" s="2">
        <f>IF(P9&lt;&gt;"",Ustede!$F$22,"")</f>
        <v>372405.48806353594</v>
      </c>
      <c r="Q18" s="2">
        <f>IF(Q9&lt;&gt;"",Ustede!$F$22,"")</f>
        <v>372405.48806353594</v>
      </c>
      <c r="R18" s="2">
        <f>IF(R9&lt;&gt;"",Ustede!$F$22,"")</f>
        <v>372405.48806353594</v>
      </c>
      <c r="S18" s="2">
        <f>IF(S9&lt;&gt;"",Ustede!$F$22,"")</f>
        <v>372405.48806353594</v>
      </c>
      <c r="T18" s="2">
        <f>IF(T9&lt;&gt;"",Ustede!$F$22,"")</f>
        <v>372405.48806353594</v>
      </c>
      <c r="U18" s="2">
        <f>IF(U9&lt;&gt;"",Ustede!$F$22,"")</f>
        <v>372405.48806353594</v>
      </c>
      <c r="V18" s="2">
        <f>IF(V9&lt;&gt;"",Ustede!$F$22,"")</f>
        <v>372405.48806353594</v>
      </c>
      <c r="W18" s="2">
        <f>IF(W9&lt;&gt;"",Ustede!$F$22,"")</f>
        <v>372405.48806353594</v>
      </c>
      <c r="X18" s="2">
        <f>IF(X9&lt;&gt;"",Ustede!$F$22,"")</f>
        <v>372405.48806353594</v>
      </c>
      <c r="Y18" s="2">
        <f>IF(Y9&lt;&gt;"",Ustede!$F$22,"")</f>
        <v>372405.48806353594</v>
      </c>
    </row>
    <row r="19" spans="1:25" x14ac:dyDescent="0.25">
      <c r="A19" s="79" t="s">
        <v>77</v>
      </c>
      <c r="B19" s="79"/>
      <c r="C19" s="79"/>
      <c r="D19" s="79"/>
      <c r="E19" s="37"/>
      <c r="F19" s="38">
        <f t="shared" ref="F19:Y19" si="0">IF(F9&lt;&gt;"",F18,"")</f>
        <v>372405.48806353594</v>
      </c>
      <c r="G19" s="38">
        <f t="shared" si="0"/>
        <v>372405.48806353594</v>
      </c>
      <c r="H19" s="38">
        <f t="shared" si="0"/>
        <v>372405.48806353594</v>
      </c>
      <c r="I19" s="38">
        <f t="shared" si="0"/>
        <v>372405.48806353594</v>
      </c>
      <c r="J19" s="38">
        <f t="shared" si="0"/>
        <v>372405.48806353594</v>
      </c>
      <c r="K19" s="38">
        <f t="shared" si="0"/>
        <v>372405.48806353594</v>
      </c>
      <c r="L19" s="38">
        <f t="shared" si="0"/>
        <v>372405.48806353594</v>
      </c>
      <c r="M19" s="38">
        <f t="shared" si="0"/>
        <v>372405.48806353594</v>
      </c>
      <c r="N19" s="38">
        <f t="shared" si="0"/>
        <v>372405.48806353594</v>
      </c>
      <c r="O19" s="38">
        <f t="shared" si="0"/>
        <v>372405.48806353594</v>
      </c>
      <c r="P19" s="38">
        <f t="shared" si="0"/>
        <v>372405.48806353594</v>
      </c>
      <c r="Q19" s="38">
        <f t="shared" si="0"/>
        <v>372405.48806353594</v>
      </c>
      <c r="R19" s="38">
        <f t="shared" si="0"/>
        <v>372405.48806353594</v>
      </c>
      <c r="S19" s="38">
        <f t="shared" si="0"/>
        <v>372405.48806353594</v>
      </c>
      <c r="T19" s="38">
        <f t="shared" si="0"/>
        <v>372405.48806353594</v>
      </c>
      <c r="U19" s="38">
        <f t="shared" si="0"/>
        <v>372405.48806353594</v>
      </c>
      <c r="V19" s="38">
        <f t="shared" si="0"/>
        <v>372405.48806353594</v>
      </c>
      <c r="W19" s="38">
        <f t="shared" si="0"/>
        <v>372405.48806353594</v>
      </c>
      <c r="X19" s="38">
        <f t="shared" si="0"/>
        <v>372405.48806353594</v>
      </c>
      <c r="Y19" s="38">
        <f t="shared" si="0"/>
        <v>372405.48806353594</v>
      </c>
    </row>
    <row r="20" spans="1:25" x14ac:dyDescent="0.25">
      <c r="A20" s="76"/>
      <c r="B20" s="76"/>
      <c r="C20" s="76"/>
      <c r="D20" s="76"/>
    </row>
    <row r="21" spans="1:25" x14ac:dyDescent="0.25">
      <c r="A21" s="67" t="s">
        <v>163</v>
      </c>
      <c r="B21" s="67"/>
      <c r="C21" s="67"/>
      <c r="D21" s="67"/>
    </row>
    <row r="22" spans="1:25" x14ac:dyDescent="0.25">
      <c r="A22" s="74" t="s">
        <v>164</v>
      </c>
      <c r="B22" s="74"/>
      <c r="C22" s="74"/>
      <c r="D22" s="74"/>
      <c r="F22" s="2">
        <f>IF(F9&gt;UnosPodataka!$M$23,"",-VLOOKUP(F9,Anuiteti!$B$13:$E$32,3,FALSE))</f>
        <v>-125760</v>
      </c>
      <c r="G22" s="2">
        <f>IF(G9&gt;UnosPodataka!$M$23,"",-VLOOKUP(G9,Anuiteti!$B$13:$E$32,3,FALSE))</f>
        <v>-118593.671515258</v>
      </c>
      <c r="H22" s="2">
        <f>IF(H9&gt;UnosPodataka!$M$23,"",-VLOOKUP(H9,Anuiteti!$B$13:$E$32,3,FALSE))</f>
        <v>-110567.38361234698</v>
      </c>
      <c r="I22" s="2">
        <f>IF(I9&gt;UnosPodataka!$M$23,"",-VLOOKUP(I9,Anuiteti!$B$13:$E$32,3,FALSE))</f>
        <v>-101577.94116108662</v>
      </c>
      <c r="J22" s="2">
        <f>IF(J9&gt;UnosPodataka!$M$23,"",-VLOOKUP(J9,Anuiteti!$B$13:$E$32,3,FALSE))</f>
        <v>-91509.765615675031</v>
      </c>
      <c r="K22" s="2">
        <f>IF(K9&gt;UnosPodataka!$M$23,"",-VLOOKUP(K9,Anuiteti!$B$13:$E$32,3,FALSE))</f>
        <v>-80233.40900481405</v>
      </c>
      <c r="L22" s="2">
        <f>IF(L9&gt;UnosPodataka!$M$23,"",-VLOOKUP(L9,Anuiteti!$B$13:$E$32,3,FALSE))</f>
        <v>-67603.889600649753</v>
      </c>
      <c r="M22" s="2">
        <f>IF(M9&gt;UnosPodataka!$M$23,"",-VLOOKUP(M9,Anuiteti!$B$13:$E$32,3,FALSE))</f>
        <v>-53458.827867985732</v>
      </c>
      <c r="N22" s="2">
        <f>IF(N9&gt;UnosPodataka!$M$23,"",-VLOOKUP(N9,Anuiteti!$B$13:$E$32,3,FALSE))</f>
        <v>-37616.358727402025</v>
      </c>
      <c r="O22" s="2">
        <f>IF(O9&gt;UnosPodataka!$M$23,"",-VLOOKUP(O9,Anuiteti!$B$13:$E$32,3,FALSE))</f>
        <v>-19872.79328994828</v>
      </c>
      <c r="P22" s="2" t="str">
        <f>IF(P9&gt;UnosPodataka!$M$23,"",-VLOOKUP(P9,Anuiteti!$B$13:$E$32,3,FALSE))</f>
        <v/>
      </c>
      <c r="Q22" s="2" t="str">
        <f>IF(Q9&gt;UnosPodataka!$M$23,"",-VLOOKUP(Q9,Anuiteti!$B$13:$E$32,3,FALSE))</f>
        <v/>
      </c>
      <c r="R22" s="2" t="str">
        <f>IF(R9&gt;UnosPodataka!$M$23,"",-VLOOKUP(R9,Anuiteti!$B$13:$E$32,3,FALSE))</f>
        <v/>
      </c>
      <c r="S22" s="2" t="str">
        <f>IF(S9&gt;UnosPodataka!$M$23,"",-VLOOKUP(S9,Anuiteti!$B$13:$E$32,3,FALSE))</f>
        <v/>
      </c>
      <c r="T22" s="2" t="str">
        <f>IF(T9&gt;UnosPodataka!$M$23,"",-VLOOKUP(T9,Anuiteti!$B$13:$E$32,3,FALSE))</f>
        <v/>
      </c>
      <c r="U22" s="2" t="str">
        <f>IF(U9&gt;UnosPodataka!$M$23,"",-VLOOKUP(U9,Anuiteti!$B$13:$E$32,3,FALSE))</f>
        <v/>
      </c>
      <c r="V22" s="2" t="str">
        <f>IF(V9&gt;UnosPodataka!$M$23,"",-VLOOKUP(V9,Anuiteti!$B$13:$E$32,3,FALSE))</f>
        <v/>
      </c>
      <c r="W22" s="2" t="str">
        <f>IF(W9&gt;UnosPodataka!$M$23,"",-VLOOKUP(W9,Anuiteti!$B$13:$E$32,3,FALSE))</f>
        <v/>
      </c>
      <c r="X22" s="2" t="str">
        <f>IF(X9&gt;UnosPodataka!$M$23,"",-VLOOKUP(X9,Anuiteti!$B$13:$E$32,3,FALSE))</f>
        <v/>
      </c>
      <c r="Y22" s="2" t="str">
        <f>IF(Y9&gt;UnosPodataka!$M$23,"",-VLOOKUP(Y9,Anuiteti!$B$13:$E$32,3,FALSE))</f>
        <v/>
      </c>
    </row>
    <row r="23" spans="1:25" x14ac:dyDescent="0.25">
      <c r="A23" s="22" t="s">
        <v>165</v>
      </c>
      <c r="B23" s="22"/>
      <c r="C23" s="22"/>
      <c r="D23" s="22"/>
      <c r="F23" s="2">
        <f>IF(F22="",0,IF(F9&gt;UnosPodataka!$M$26,"",VLOOKUP(F9,Anuiteti!$B$13:$E$32,4,FALSE)+VLOOKUP(F9,Anuiteti!$B$13:$E$32,3,FALSE)))</f>
        <v>-59719.404039516608</v>
      </c>
      <c r="G23" s="2">
        <f>IF(G22="",0,IF(G9&gt;UnosPodataka!$M$26,"",VLOOKUP(G9,Anuiteti!$B$13:$E$32,4,FALSE)+VLOOKUP(G9,Anuiteti!$B$13:$E$32,3,FALSE)))</f>
        <v>-66885.732524258608</v>
      </c>
      <c r="H23" s="2">
        <f>IF(H22="",0,IF(H9&gt;UnosPodataka!$M$26,"",VLOOKUP(H9,Anuiteti!$B$13:$E$32,4,FALSE)+VLOOKUP(H9,Anuiteti!$B$13:$E$32,3,FALSE)))</f>
        <v>-74912.020427169628</v>
      </c>
      <c r="I23" s="2">
        <f>IF(I22="",0,IF(I9&gt;UnosPodataka!$M$26,"",VLOOKUP(I9,Anuiteti!$B$13:$E$32,4,FALSE)+VLOOKUP(I9,Anuiteti!$B$13:$E$32,3,FALSE)))</f>
        <v>-83901.462878429986</v>
      </c>
      <c r="J23" s="2">
        <f>IF(J22="",0,IF(J9&gt;UnosPodataka!$M$26,"",VLOOKUP(J9,Anuiteti!$B$13:$E$32,4,FALSE)+VLOOKUP(J9,Anuiteti!$B$13:$E$32,3,FALSE)))</f>
        <v>-93969.638423841578</v>
      </c>
      <c r="K23" s="2">
        <f>IF(K22="",0,IF(K9&gt;UnosPodataka!$M$26,"",VLOOKUP(K9,Anuiteti!$B$13:$E$32,4,FALSE)+VLOOKUP(K9,Anuiteti!$B$13:$E$32,3,FALSE)))</f>
        <v>-105245.99503470256</v>
      </c>
      <c r="L23" s="2">
        <f>IF(L22="",0,IF(L9&gt;UnosPodataka!$M$26,"",VLOOKUP(L9,Anuiteti!$B$13:$E$32,4,FALSE)+VLOOKUP(L9,Anuiteti!$B$13:$E$32,3,FALSE)))</f>
        <v>-117875.51443886686</v>
      </c>
      <c r="M23" s="2">
        <f>IF(M22="",0,IF(M9&gt;UnosPodataka!$M$26,"",VLOOKUP(M9,Anuiteti!$B$13:$E$32,4,FALSE)+VLOOKUP(M9,Anuiteti!$B$13:$E$32,3,FALSE)))</f>
        <v>-132020.57617153088</v>
      </c>
      <c r="N23" s="2">
        <f>IF(N22="",0,IF(N9&gt;UnosPodataka!$M$26,"",VLOOKUP(N9,Anuiteti!$B$13:$E$32,4,FALSE)+VLOOKUP(N9,Anuiteti!$B$13:$E$32,3,FALSE)))</f>
        <v>-147863.04531211458</v>
      </c>
      <c r="O23" s="2">
        <f>IF(O22="",0,IF(O9&gt;UnosPodataka!$M$26,"",VLOOKUP(O9,Anuiteti!$B$13:$E$32,4,FALSE)+VLOOKUP(O9,Anuiteti!$B$13:$E$32,3,FALSE)))</f>
        <v>-165606.61074956832</v>
      </c>
      <c r="P23" s="2">
        <f>IF(P22="",0,IF(P9&gt;UnosPodataka!$M$26,"",VLOOKUP(P9,Anuiteti!$B$13:$E$32,4,FALSE)+VLOOKUP(P9,Anuiteti!$B$13:$E$32,3,FALSE)))</f>
        <v>0</v>
      </c>
      <c r="Q23" s="2">
        <f>IF(Q22="",0,IF(Q9&gt;UnosPodataka!$M$26,"",VLOOKUP(Q9,Anuiteti!$B$13:$E$32,4,FALSE)+VLOOKUP(Q9,Anuiteti!$B$13:$E$32,3,FALSE)))</f>
        <v>0</v>
      </c>
      <c r="R23" s="2">
        <f>IF(R22="",0,IF(R9&gt;UnosPodataka!$M$26,"",VLOOKUP(R9,Anuiteti!$B$13:$E$32,4,FALSE)+VLOOKUP(R9,Anuiteti!$B$13:$E$32,3,FALSE)))</f>
        <v>0</v>
      </c>
      <c r="S23" s="2">
        <f>IF(S22="",0,IF(S9&gt;UnosPodataka!$M$26,"",VLOOKUP(S9,Anuiteti!$B$13:$E$32,4,FALSE)+VLOOKUP(S9,Anuiteti!$B$13:$E$32,3,FALSE)))</f>
        <v>0</v>
      </c>
      <c r="T23" s="2">
        <f>IF(T22="",0,IF(T9&gt;UnosPodataka!$M$26,"",VLOOKUP(T9,Anuiteti!$B$13:$E$32,4,FALSE)+VLOOKUP(T9,Anuiteti!$B$13:$E$32,3,FALSE)))</f>
        <v>0</v>
      </c>
      <c r="U23" s="2">
        <f>IF(U22="",0,IF(U9&gt;UnosPodataka!$M$26,"",VLOOKUP(U9,Anuiteti!$B$13:$E$32,4,FALSE)+VLOOKUP(U9,Anuiteti!$B$13:$E$32,3,FALSE)))</f>
        <v>0</v>
      </c>
      <c r="V23" s="2">
        <f>IF(V22="",0,IF(V9&gt;UnosPodataka!$M$26,"",VLOOKUP(V9,Anuiteti!$B$13:$E$32,4,FALSE)+VLOOKUP(V9,Anuiteti!$B$13:$E$32,3,FALSE)))</f>
        <v>0</v>
      </c>
      <c r="W23" s="2">
        <f>IF(W22="",0,IF(W9&gt;UnosPodataka!$M$26,"",VLOOKUP(W9,Anuiteti!$B$13:$E$32,4,FALSE)+VLOOKUP(W9,Anuiteti!$B$13:$E$32,3,FALSE)))</f>
        <v>0</v>
      </c>
      <c r="X23" s="2">
        <f>IF(X22="",0,IF(X9&gt;UnosPodataka!$M$26,"",VLOOKUP(X9,Anuiteti!$B$13:$E$32,4,FALSE)+VLOOKUP(X9,Anuiteti!$B$13:$E$32,3,FALSE)))</f>
        <v>0</v>
      </c>
      <c r="Y23" s="2">
        <f>IF(Y22="",0,IF(Y9&gt;UnosPodataka!$M$26,"",VLOOKUP(Y9,Anuiteti!$B$13:$E$32,4,FALSE)+VLOOKUP(Y9,Anuiteti!$B$13:$E$32,3,FALSE)))</f>
        <v>0</v>
      </c>
    </row>
    <row r="24" spans="1:25" x14ac:dyDescent="0.25">
      <c r="A24" s="74" t="s">
        <v>78</v>
      </c>
      <c r="B24" s="74"/>
      <c r="C24" s="74"/>
      <c r="D24" s="74"/>
      <c r="F24" s="2">
        <f>IF(F9&lt;&gt;"",-UnosPodataka!$M$9,"")</f>
        <v>-100</v>
      </c>
      <c r="G24" s="2">
        <f>IF(G9&lt;&gt;"",-UnosPodataka!$M$9,"")</f>
        <v>-100</v>
      </c>
      <c r="H24" s="2">
        <f>IF(H9&lt;&gt;"",-UnosPodataka!$M$9,"")</f>
        <v>-100</v>
      </c>
      <c r="I24" s="2">
        <f>IF(I9&lt;&gt;"",-UnosPodataka!$M$9,"")</f>
        <v>-100</v>
      </c>
      <c r="J24" s="2">
        <f>IF(J9&lt;&gt;"",-UnosPodataka!$M$9,"")</f>
        <v>-100</v>
      </c>
      <c r="K24" s="2">
        <f>IF(K9&lt;&gt;"",-UnosPodataka!$M$9,"")</f>
        <v>-100</v>
      </c>
      <c r="L24" s="2">
        <f>IF(L9&lt;&gt;"",-UnosPodataka!$M$9,"")</f>
        <v>-100</v>
      </c>
      <c r="M24" s="2">
        <f>IF(M9&lt;&gt;"",-UnosPodataka!$M$9,"")</f>
        <v>-100</v>
      </c>
      <c r="N24" s="2">
        <f>IF(N9&lt;&gt;"",-UnosPodataka!$M$9,"")</f>
        <v>-100</v>
      </c>
      <c r="O24" s="2">
        <f>IF(O9&lt;&gt;"",-UnosPodataka!$M$9,"")</f>
        <v>-100</v>
      </c>
      <c r="P24" s="2">
        <f>IF(P9&lt;&gt;"",-UnosPodataka!$M$9,"")</f>
        <v>-100</v>
      </c>
      <c r="Q24" s="2">
        <f>IF(Q9&lt;&gt;"",-UnosPodataka!$M$9,"")</f>
        <v>-100</v>
      </c>
      <c r="R24" s="2">
        <f>IF(R9&lt;&gt;"",-UnosPodataka!$M$9,"")</f>
        <v>-100</v>
      </c>
      <c r="S24" s="2">
        <f>IF(S9&lt;&gt;"",-UnosPodataka!$M$9,"")</f>
        <v>-100</v>
      </c>
      <c r="T24" s="2">
        <f>IF(T9&lt;&gt;"",-UnosPodataka!$M$9,"")</f>
        <v>-100</v>
      </c>
      <c r="U24" s="2">
        <f>IF(U9&lt;&gt;"",-UnosPodataka!$M$9,"")</f>
        <v>-100</v>
      </c>
      <c r="V24" s="2">
        <f>IF(V9&lt;&gt;"",-UnosPodataka!$M$9,"")</f>
        <v>-100</v>
      </c>
      <c r="W24" s="2">
        <f>IF(W9&lt;&gt;"",-UnosPodataka!$M$9,"")</f>
        <v>-100</v>
      </c>
      <c r="X24" s="2">
        <f>IF(X9&lt;&gt;"",-UnosPodataka!$M$9,"")</f>
        <v>-100</v>
      </c>
      <c r="Y24" s="2">
        <f>IF(Y9&lt;&gt;"",-UnosPodataka!$M$9,"")</f>
        <v>-100</v>
      </c>
    </row>
    <row r="25" spans="1:25" x14ac:dyDescent="0.25">
      <c r="A25" s="74" t="s">
        <v>79</v>
      </c>
      <c r="B25" s="74"/>
      <c r="C25" s="74"/>
      <c r="D25" s="74"/>
      <c r="F25" s="2">
        <f>IF(F9&lt;&gt;"",-Investment*UnosPodataka!$M$11,"")</f>
        <v>-37440</v>
      </c>
      <c r="G25" s="2">
        <f>IF(G9&lt;&gt;"",-Investment*UnosPodataka!$M$11,"")</f>
        <v>-37440</v>
      </c>
      <c r="H25" s="2">
        <f>IF(H9&lt;&gt;"",-Investment*UnosPodataka!$M$11,"")</f>
        <v>-37440</v>
      </c>
      <c r="I25" s="2">
        <f>IF(I9&lt;&gt;"",-Investment*UnosPodataka!$M$11,"")</f>
        <v>-37440</v>
      </c>
      <c r="J25" s="2">
        <f>IF(J9&lt;&gt;"",-Investment*UnosPodataka!$M$11,"")</f>
        <v>-37440</v>
      </c>
      <c r="K25" s="2">
        <f>IF(K9&lt;&gt;"",-Investment*UnosPodataka!$M$11,"")</f>
        <v>-37440</v>
      </c>
      <c r="L25" s="2">
        <f>IF(L9&lt;&gt;"",-Investment*UnosPodataka!$M$11,"")</f>
        <v>-37440</v>
      </c>
      <c r="M25" s="2">
        <f>IF(M9&lt;&gt;"",-Investment*UnosPodataka!$M$11,"")</f>
        <v>-37440</v>
      </c>
      <c r="N25" s="2">
        <f>IF(N9&lt;&gt;"",-Investment*UnosPodataka!$M$11,"")</f>
        <v>-37440</v>
      </c>
      <c r="O25" s="2">
        <f>IF(O9&lt;&gt;"",-Investment*UnosPodataka!$M$11,"")</f>
        <v>-37440</v>
      </c>
      <c r="P25" s="2">
        <f>IF(P9&lt;&gt;"",-Investment*UnosPodataka!$M$11,"")</f>
        <v>-37440</v>
      </c>
      <c r="Q25" s="2">
        <f>IF(Q9&lt;&gt;"",-Investment*UnosPodataka!$M$11,"")</f>
        <v>-37440</v>
      </c>
      <c r="R25" s="2">
        <f>IF(R9&lt;&gt;"",-Investment*UnosPodataka!$M$11,"")</f>
        <v>-37440</v>
      </c>
      <c r="S25" s="2">
        <f>IF(S9&lt;&gt;"",-Investment*UnosPodataka!$M$11,"")</f>
        <v>-37440</v>
      </c>
      <c r="T25" s="2">
        <f>IF(T9&lt;&gt;"",-Investment*UnosPodataka!$M$11,"")</f>
        <v>-37440</v>
      </c>
      <c r="U25" s="2">
        <f>IF(U9&lt;&gt;"",-Investment*UnosPodataka!$M$11,"")</f>
        <v>-37440</v>
      </c>
      <c r="V25" s="2">
        <f>IF(V9&lt;&gt;"",-Investment*UnosPodataka!$M$11,"")</f>
        <v>-37440</v>
      </c>
      <c r="W25" s="2">
        <f>IF(W9&lt;&gt;"",-Investment*UnosPodataka!$M$11,"")</f>
        <v>-37440</v>
      </c>
      <c r="X25" s="2">
        <f>IF(X9&lt;&gt;"",-Investment*UnosPodataka!$M$11,"")</f>
        <v>-37440</v>
      </c>
      <c r="Y25" s="2">
        <f>IF(Y9&lt;&gt;"",-Investment*UnosPodataka!$M$11,"")</f>
        <v>-37440</v>
      </c>
    </row>
    <row r="26" spans="1:25" x14ac:dyDescent="0.25">
      <c r="A26" s="74" t="s">
        <v>136</v>
      </c>
      <c r="B26" s="74"/>
      <c r="C26" s="74"/>
      <c r="D26" s="74"/>
      <c r="F26" s="2">
        <f>IF(F9&lt;&gt;"",-UnosPodataka!$M$14,0)</f>
        <v>-15000</v>
      </c>
      <c r="G26" s="2">
        <f>IF(G9&lt;&gt;"",-UnosPodataka!$M$14,0)</f>
        <v>-15000</v>
      </c>
      <c r="H26" s="2">
        <f>IF(H9&lt;&gt;"",-UnosPodataka!$M$14,0)</f>
        <v>-15000</v>
      </c>
      <c r="I26" s="2">
        <f>IF(I9&lt;&gt;"",-UnosPodataka!$M$14,0)</f>
        <v>-15000</v>
      </c>
      <c r="J26" s="2">
        <f>IF(J9&lt;&gt;"",-UnosPodataka!$M$14,0)</f>
        <v>-15000</v>
      </c>
      <c r="K26" s="2">
        <f>IF(K9&lt;&gt;"",-UnosPodataka!$M$14,0)</f>
        <v>-15000</v>
      </c>
      <c r="L26" s="2">
        <f>IF(L9&lt;&gt;"",-UnosPodataka!$M$14,0)</f>
        <v>-15000</v>
      </c>
      <c r="M26" s="2">
        <f>IF(M9&lt;&gt;"",-UnosPodataka!$M$14,0)</f>
        <v>-15000</v>
      </c>
      <c r="N26" s="2">
        <f>IF(N9&lt;&gt;"",-UnosPodataka!$M$14,0)</f>
        <v>-15000</v>
      </c>
      <c r="O26" s="2">
        <f>IF(O9&lt;&gt;"",-UnosPodataka!$M$14,0)</f>
        <v>-15000</v>
      </c>
      <c r="P26" s="2">
        <f>IF(P9&lt;&gt;"",-UnosPodataka!$M$14,0)</f>
        <v>-15000</v>
      </c>
      <c r="Q26" s="2">
        <f>IF(Q9&lt;&gt;"",-UnosPodataka!$M$14,0)</f>
        <v>-15000</v>
      </c>
      <c r="R26" s="2">
        <f>IF(R9&lt;&gt;"",-UnosPodataka!$M$14,0)</f>
        <v>-15000</v>
      </c>
      <c r="S26" s="2">
        <f>IF(S9&lt;&gt;"",-UnosPodataka!$M$14,0)</f>
        <v>-15000</v>
      </c>
      <c r="T26" s="2">
        <f>IF(T9&lt;&gt;"",-UnosPodataka!$M$14,0)</f>
        <v>-15000</v>
      </c>
      <c r="U26" s="2">
        <f>IF(U9&lt;&gt;"",-UnosPodataka!$M$14,0)</f>
        <v>-15000</v>
      </c>
      <c r="V26" s="2">
        <f>IF(V9&lt;&gt;"",-UnosPodataka!$M$14,0)</f>
        <v>-15000</v>
      </c>
      <c r="W26" s="2">
        <f>IF(W9&lt;&gt;"",-UnosPodataka!$M$14,0)</f>
        <v>-15000</v>
      </c>
      <c r="X26" s="2">
        <f>IF(X9&lt;&gt;"",-UnosPodataka!$M$14,0)</f>
        <v>-15000</v>
      </c>
      <c r="Y26" s="2">
        <f>IF(Y9&lt;&gt;"",-UnosPodataka!$M$14,0)</f>
        <v>-15000</v>
      </c>
    </row>
    <row r="27" spans="1:25" x14ac:dyDescent="0.25">
      <c r="A27" s="74" t="s">
        <v>166</v>
      </c>
      <c r="B27" s="74"/>
      <c r="C27" s="74"/>
      <c r="D27" s="74"/>
      <c r="F27" s="2">
        <f>IF(F9&lt;&gt;"",-Investment*UnosPodataka!$M$12,"")</f>
        <v>-124800</v>
      </c>
      <c r="G27" s="2">
        <f>IF(G9&lt;&gt;"",-Investment*UnosPodataka!$M$12,"")</f>
        <v>-124800</v>
      </c>
      <c r="H27" s="2">
        <f>IF(H9&lt;&gt;"",-Investment*UnosPodataka!$M$12,"")</f>
        <v>-124800</v>
      </c>
      <c r="I27" s="2">
        <f>IF(I9&lt;&gt;"",-Investment*UnosPodataka!$M$12,"")</f>
        <v>-124800</v>
      </c>
      <c r="J27" s="2">
        <f>IF(J9&lt;&gt;"",-Investment*UnosPodataka!$M$12,"")</f>
        <v>-124800</v>
      </c>
      <c r="K27" s="2">
        <f>IF(K9&lt;&gt;"",-Investment*UnosPodataka!$M$12,"")</f>
        <v>-124800</v>
      </c>
      <c r="L27" s="2">
        <f>IF(L9&lt;&gt;"",-Investment*UnosPodataka!$M$12,"")</f>
        <v>-124800</v>
      </c>
      <c r="M27" s="2">
        <f>IF(M9&lt;&gt;"",-Investment*UnosPodataka!$M$12,"")</f>
        <v>-124800</v>
      </c>
      <c r="N27" s="2">
        <f>IF(N9&lt;&gt;"",-Investment*UnosPodataka!$M$12,"")</f>
        <v>-124800</v>
      </c>
      <c r="O27" s="2">
        <f>IF(O9&lt;&gt;"",-Investment*UnosPodataka!$M$12,"")</f>
        <v>-124800</v>
      </c>
      <c r="P27" s="2">
        <f>IF(P9&lt;&gt;"",-Investment*UnosPodataka!$M$12,"")</f>
        <v>-124800</v>
      </c>
      <c r="Q27" s="2">
        <f>IF(Q9&lt;&gt;"",-Investment*UnosPodataka!$M$12,"")</f>
        <v>-124800</v>
      </c>
      <c r="R27" s="2">
        <f>IF(R9&lt;&gt;"",-Investment*UnosPodataka!$M$12,"")</f>
        <v>-124800</v>
      </c>
      <c r="S27" s="2">
        <f>IF(S9&lt;&gt;"",-Investment*UnosPodataka!$M$12,"")</f>
        <v>-124800</v>
      </c>
      <c r="T27" s="2">
        <f>IF(T9&lt;&gt;"",-Investment*UnosPodataka!$M$12,"")</f>
        <v>-124800</v>
      </c>
      <c r="U27" s="2">
        <f>IF(U9&lt;&gt;"",-Investment*UnosPodataka!$M$12,"")</f>
        <v>-124800</v>
      </c>
      <c r="V27" s="2">
        <f>IF(V9&lt;&gt;"",-Investment*UnosPodataka!$M$12,"")</f>
        <v>-124800</v>
      </c>
      <c r="W27" s="2">
        <f>IF(W9&lt;&gt;"",-Investment*UnosPodataka!$M$12,"")</f>
        <v>-124800</v>
      </c>
      <c r="X27" s="2">
        <f>IF(X9&lt;&gt;"",-Investment*UnosPodataka!$M$12,"")</f>
        <v>-124800</v>
      </c>
      <c r="Y27" s="2">
        <f>IF(Y9&lt;&gt;"",-Investment*UnosPodataka!$M$12,"")</f>
        <v>-124800</v>
      </c>
    </row>
    <row r="28" spans="1:25" x14ac:dyDescent="0.25">
      <c r="A28" s="74" t="s">
        <v>142</v>
      </c>
      <c r="B28" s="74"/>
      <c r="C28" s="74"/>
      <c r="D28" s="74"/>
      <c r="F28" s="2">
        <f>IF(F9&lt;&gt;"",-(1-UnosPodataka!$M$10)*FinaIndicators!F19,"")</f>
        <v>0</v>
      </c>
      <c r="G28" s="2">
        <f>IF(G9&lt;&gt;"",-(1-UnosPodataka!$M$10)*FinaIndicators!G19,"")</f>
        <v>0</v>
      </c>
      <c r="H28" s="2">
        <f>IF(H9&lt;&gt;"",-(1-UnosPodataka!$M$10)*FinaIndicators!H19,"")</f>
        <v>0</v>
      </c>
      <c r="I28" s="2">
        <f>IF(I9&lt;&gt;"",-(1-UnosPodataka!$M$10)*FinaIndicators!I19,"")</f>
        <v>0</v>
      </c>
      <c r="J28" s="2">
        <f>IF(J9&lt;&gt;"",-(1-UnosPodataka!$M$10)*FinaIndicators!J19,"")</f>
        <v>0</v>
      </c>
      <c r="K28" s="2">
        <f>IF(K9&lt;&gt;"",-(1-UnosPodataka!$M$10)*FinaIndicators!K19,"")</f>
        <v>0</v>
      </c>
      <c r="L28" s="2">
        <f>IF(L9&lt;&gt;"",-(1-UnosPodataka!$M$10)*FinaIndicators!L19,"")</f>
        <v>0</v>
      </c>
      <c r="M28" s="2">
        <f>IF(M9&lt;&gt;"",-(1-UnosPodataka!$M$10)*FinaIndicators!M19,"")</f>
        <v>0</v>
      </c>
      <c r="N28" s="2">
        <f>IF(N9&lt;&gt;"",-(1-UnosPodataka!$M$10)*FinaIndicators!N19,"")</f>
        <v>0</v>
      </c>
      <c r="O28" s="2">
        <f>IF(O9&lt;&gt;"",-(1-UnosPodataka!$M$10)*FinaIndicators!O19,"")</f>
        <v>0</v>
      </c>
      <c r="P28" s="2">
        <f>IF(P9&lt;&gt;"",-(1-UnosPodataka!$M$10)*FinaIndicators!P19,"")</f>
        <v>0</v>
      </c>
      <c r="Q28" s="2">
        <f>IF(Q9&lt;&gt;"",-(1-UnosPodataka!$M$10)*FinaIndicators!Q19,"")</f>
        <v>0</v>
      </c>
      <c r="R28" s="2">
        <f>IF(R9&lt;&gt;"",-(1-UnosPodataka!$M$10)*FinaIndicators!R19,"")</f>
        <v>0</v>
      </c>
      <c r="S28" s="2">
        <f>IF(S9&lt;&gt;"",-(1-UnosPodataka!$M$10)*FinaIndicators!S19,"")</f>
        <v>0</v>
      </c>
      <c r="T28" s="2">
        <f>IF(T9&lt;&gt;"",-(1-UnosPodataka!$M$10)*FinaIndicators!T19,"")</f>
        <v>0</v>
      </c>
      <c r="U28" s="2">
        <f>IF(U9&lt;&gt;"",-(1-UnosPodataka!$M$10)*FinaIndicators!U19,"")</f>
        <v>0</v>
      </c>
      <c r="V28" s="2">
        <f>IF(V9&lt;&gt;"",-(1-UnosPodataka!$M$10)*FinaIndicators!V19,"")</f>
        <v>0</v>
      </c>
      <c r="W28" s="2">
        <f>IF(W9&lt;&gt;"",-(1-UnosPodataka!$M$10)*FinaIndicators!W19,"")</f>
        <v>0</v>
      </c>
      <c r="X28" s="2">
        <f>IF(X9&lt;&gt;"",-(1-UnosPodataka!$M$10)*FinaIndicators!X19,"")</f>
        <v>0</v>
      </c>
      <c r="Y28" s="2">
        <f>IF(Y9&lt;&gt;"",-(1-UnosPodataka!$M$10)*FinaIndicators!Y19,"")</f>
        <v>0</v>
      </c>
    </row>
    <row r="29" spans="1:25" x14ac:dyDescent="0.25">
      <c r="A29" s="79" t="s">
        <v>80</v>
      </c>
      <c r="B29" s="79"/>
      <c r="C29" s="79"/>
      <c r="D29" s="79"/>
      <c r="E29" s="37"/>
      <c r="F29" s="38">
        <f>IF(F9&lt;&gt;"",SUM(F22:F28),"")</f>
        <v>-362819.40403951658</v>
      </c>
      <c r="G29" s="38">
        <f t="shared" ref="G29:Y29" si="1">IF(G9&lt;&gt;"",SUM(G22:G28),"")</f>
        <v>-362819.40403951658</v>
      </c>
      <c r="H29" s="38">
        <f t="shared" si="1"/>
        <v>-362819.40403951658</v>
      </c>
      <c r="I29" s="38">
        <f t="shared" si="1"/>
        <v>-362819.40403951658</v>
      </c>
      <c r="J29" s="38">
        <f t="shared" si="1"/>
        <v>-362819.40403951658</v>
      </c>
      <c r="K29" s="38">
        <f t="shared" si="1"/>
        <v>-362819.40403951658</v>
      </c>
      <c r="L29" s="38">
        <f t="shared" si="1"/>
        <v>-362819.40403951658</v>
      </c>
      <c r="M29" s="38">
        <f t="shared" si="1"/>
        <v>-362819.40403951658</v>
      </c>
      <c r="N29" s="38">
        <f t="shared" si="1"/>
        <v>-362819.40403951658</v>
      </c>
      <c r="O29" s="38">
        <f t="shared" si="1"/>
        <v>-362819.40403951658</v>
      </c>
      <c r="P29" s="38">
        <f t="shared" si="1"/>
        <v>-177340</v>
      </c>
      <c r="Q29" s="38">
        <f t="shared" si="1"/>
        <v>-177340</v>
      </c>
      <c r="R29" s="38">
        <f t="shared" si="1"/>
        <v>-177340</v>
      </c>
      <c r="S29" s="38">
        <f t="shared" si="1"/>
        <v>-177340</v>
      </c>
      <c r="T29" s="38">
        <f t="shared" si="1"/>
        <v>-177340</v>
      </c>
      <c r="U29" s="38">
        <f t="shared" si="1"/>
        <v>-177340</v>
      </c>
      <c r="V29" s="38">
        <f t="shared" si="1"/>
        <v>-177340</v>
      </c>
      <c r="W29" s="38">
        <f t="shared" si="1"/>
        <v>-177340</v>
      </c>
      <c r="X29" s="38">
        <f t="shared" si="1"/>
        <v>-177340</v>
      </c>
      <c r="Y29" s="38">
        <f t="shared" si="1"/>
        <v>-177340</v>
      </c>
    </row>
    <row r="31" spans="1:25" x14ac:dyDescent="0.25">
      <c r="A31" t="s">
        <v>167</v>
      </c>
      <c r="E31" s="2">
        <f>SUM(E11:E13)</f>
        <v>1248000</v>
      </c>
      <c r="F31" s="2">
        <f>+F29-F27-F34</f>
        <v>-248415.22724904696</v>
      </c>
      <c r="G31" s="2">
        <f>+G29-G27-G34</f>
        <v>-249490.17652175829</v>
      </c>
      <c r="H31" s="2">
        <f t="shared" ref="H31:Y31" si="2">+H29-H27-H34</f>
        <v>-250694.11970719491</v>
      </c>
      <c r="I31" s="2">
        <f t="shared" si="2"/>
        <v>-252042.53607488397</v>
      </c>
      <c r="J31" s="2">
        <f t="shared" si="2"/>
        <v>-253552.76240669572</v>
      </c>
      <c r="K31" s="2">
        <f t="shared" si="2"/>
        <v>-255244.21589832485</v>
      </c>
      <c r="L31" s="2">
        <f t="shared" si="2"/>
        <v>-257138.64380894951</v>
      </c>
      <c r="M31" s="2">
        <f t="shared" si="2"/>
        <v>-259260.40306884912</v>
      </c>
      <c r="N31" s="2">
        <f t="shared" si="2"/>
        <v>-261636.77343993666</v>
      </c>
      <c r="O31" s="2">
        <f t="shared" si="2"/>
        <v>-264298.30825555476</v>
      </c>
      <c r="P31" s="2">
        <f t="shared" si="2"/>
        <v>-81799.823209530383</v>
      </c>
      <c r="Q31" s="2">
        <f t="shared" si="2"/>
        <v>-81799.823209530383</v>
      </c>
      <c r="R31" s="2">
        <f t="shared" si="2"/>
        <v>-81799.823209530383</v>
      </c>
      <c r="S31" s="2">
        <f t="shared" si="2"/>
        <v>-81799.823209530383</v>
      </c>
      <c r="T31" s="2">
        <f t="shared" si="2"/>
        <v>-81799.823209530383</v>
      </c>
      <c r="U31" s="2">
        <f t="shared" si="2"/>
        <v>-81799.823209530383</v>
      </c>
      <c r="V31" s="2">
        <f t="shared" si="2"/>
        <v>-81799.823209530383</v>
      </c>
      <c r="W31" s="2">
        <f t="shared" si="2"/>
        <v>-81799.823209530383</v>
      </c>
      <c r="X31" s="2">
        <f t="shared" si="2"/>
        <v>-81799.823209530383</v>
      </c>
      <c r="Y31" s="2">
        <f t="shared" si="2"/>
        <v>-81799.823209530383</v>
      </c>
    </row>
    <row r="32" spans="1:25" x14ac:dyDescent="0.25">
      <c r="A32" s="67" t="s">
        <v>168</v>
      </c>
      <c r="B32" s="67"/>
      <c r="C32" s="67"/>
      <c r="D32" s="67"/>
      <c r="E32" s="37"/>
      <c r="F32" s="38">
        <f>+F19+F29-F23</f>
        <v>69305.488063535973</v>
      </c>
      <c r="G32" s="38">
        <f t="shared" ref="G32:Y32" si="3">+G19+G29-G23</f>
        <v>76471.816548277973</v>
      </c>
      <c r="H32" s="38">
        <f t="shared" si="3"/>
        <v>84498.104451188992</v>
      </c>
      <c r="I32" s="38">
        <f t="shared" si="3"/>
        <v>93487.54690244935</v>
      </c>
      <c r="J32" s="38">
        <f t="shared" si="3"/>
        <v>103555.72244786094</v>
      </c>
      <c r="K32" s="38">
        <f t="shared" si="3"/>
        <v>114832.07905872192</v>
      </c>
      <c r="L32" s="38">
        <f t="shared" si="3"/>
        <v>127461.59846288622</v>
      </c>
      <c r="M32" s="38">
        <f t="shared" si="3"/>
        <v>141606.66019555024</v>
      </c>
      <c r="N32" s="38">
        <f t="shared" si="3"/>
        <v>157449.12933613395</v>
      </c>
      <c r="O32" s="38">
        <f t="shared" si="3"/>
        <v>175192.69477358769</v>
      </c>
      <c r="P32" s="38">
        <f t="shared" si="3"/>
        <v>195065.48806353594</v>
      </c>
      <c r="Q32" s="38">
        <f t="shared" si="3"/>
        <v>195065.48806353594</v>
      </c>
      <c r="R32" s="38">
        <f t="shared" si="3"/>
        <v>195065.48806353594</v>
      </c>
      <c r="S32" s="38">
        <f t="shared" si="3"/>
        <v>195065.48806353594</v>
      </c>
      <c r="T32" s="38">
        <f t="shared" si="3"/>
        <v>195065.48806353594</v>
      </c>
      <c r="U32" s="38">
        <f t="shared" si="3"/>
        <v>195065.48806353594</v>
      </c>
      <c r="V32" s="38">
        <f t="shared" si="3"/>
        <v>195065.48806353594</v>
      </c>
      <c r="W32" s="38">
        <f t="shared" si="3"/>
        <v>195065.48806353594</v>
      </c>
      <c r="X32" s="38">
        <f t="shared" si="3"/>
        <v>195065.48806353594</v>
      </c>
      <c r="Y32" s="38">
        <f t="shared" si="3"/>
        <v>195065.48806353594</v>
      </c>
    </row>
    <row r="33" spans="1:25" x14ac:dyDescent="0.25">
      <c r="A33" s="76"/>
      <c r="B33" s="76"/>
      <c r="C33" s="76"/>
      <c r="D33" s="76"/>
    </row>
    <row r="34" spans="1:25" x14ac:dyDescent="0.25">
      <c r="A34" s="74" t="s">
        <v>81</v>
      </c>
      <c r="B34" s="74"/>
      <c r="C34" s="74"/>
      <c r="D34" s="74"/>
      <c r="E34" s="2"/>
      <c r="F34" s="2">
        <f>IF(F9&lt;&gt;"",IF(F32&gt;0,F32*VAT,0),"")</f>
        <v>10395.823209530396</v>
      </c>
      <c r="G34" s="2">
        <f t="shared" ref="G34:Y34" si="4">IF(G9&lt;&gt;"",IF(G32&gt;0,G32*VAT,0),"")</f>
        <v>11470.772482241695</v>
      </c>
      <c r="H34" s="2">
        <f t="shared" si="4"/>
        <v>12674.715667678349</v>
      </c>
      <c r="I34" s="2">
        <f t="shared" si="4"/>
        <v>14023.132035367402</v>
      </c>
      <c r="J34" s="2">
        <f t="shared" si="4"/>
        <v>15533.35836717914</v>
      </c>
      <c r="K34" s="2">
        <f t="shared" si="4"/>
        <v>17224.811858808287</v>
      </c>
      <c r="L34" s="2">
        <f t="shared" si="4"/>
        <v>19119.239769432934</v>
      </c>
      <c r="M34" s="2">
        <f t="shared" si="4"/>
        <v>21240.999029332535</v>
      </c>
      <c r="N34" s="2">
        <f t="shared" si="4"/>
        <v>23617.369400420092</v>
      </c>
      <c r="O34" s="2">
        <f t="shared" si="4"/>
        <v>26278.904216038154</v>
      </c>
      <c r="P34" s="2">
        <f t="shared" si="4"/>
        <v>29259.82320953039</v>
      </c>
      <c r="Q34" s="2">
        <f t="shared" si="4"/>
        <v>29259.82320953039</v>
      </c>
      <c r="R34" s="2">
        <f t="shared" si="4"/>
        <v>29259.82320953039</v>
      </c>
      <c r="S34" s="2">
        <f t="shared" si="4"/>
        <v>29259.82320953039</v>
      </c>
      <c r="T34" s="2">
        <f t="shared" si="4"/>
        <v>29259.82320953039</v>
      </c>
      <c r="U34" s="2">
        <f t="shared" si="4"/>
        <v>29259.82320953039</v>
      </c>
      <c r="V34" s="2">
        <f t="shared" si="4"/>
        <v>29259.82320953039</v>
      </c>
      <c r="W34" s="2">
        <f t="shared" si="4"/>
        <v>29259.82320953039</v>
      </c>
      <c r="X34" s="2">
        <f t="shared" si="4"/>
        <v>29259.82320953039</v>
      </c>
      <c r="Y34" s="2">
        <f t="shared" si="4"/>
        <v>29259.82320953039</v>
      </c>
    </row>
    <row r="35" spans="1:25" x14ac:dyDescent="0.25">
      <c r="A35" s="67" t="s">
        <v>82</v>
      </c>
      <c r="B35" s="67"/>
      <c r="C35" s="67"/>
      <c r="D35" s="67"/>
      <c r="E35" s="38"/>
      <c r="F35" s="38">
        <f>IF(F9&lt;&gt;"",F32-F34,"")</f>
        <v>58909.664854005576</v>
      </c>
      <c r="G35" s="38">
        <f t="shared" ref="G35:Y35" si="5">IF(G9&lt;&gt;"",G32-G34,"")</f>
        <v>65001.04406603628</v>
      </c>
      <c r="H35" s="38">
        <f t="shared" si="5"/>
        <v>71823.388783510643</v>
      </c>
      <c r="I35" s="38">
        <f t="shared" si="5"/>
        <v>79464.414867081941</v>
      </c>
      <c r="J35" s="38">
        <f t="shared" si="5"/>
        <v>88022.3640806818</v>
      </c>
      <c r="K35" s="38">
        <f t="shared" si="5"/>
        <v>97607.267199913636</v>
      </c>
      <c r="L35" s="38">
        <f t="shared" si="5"/>
        <v>108342.35869345328</v>
      </c>
      <c r="M35" s="38">
        <f t="shared" si="5"/>
        <v>120365.6611662177</v>
      </c>
      <c r="N35" s="38">
        <f t="shared" si="5"/>
        <v>133831.75993571387</v>
      </c>
      <c r="O35" s="38">
        <f t="shared" si="5"/>
        <v>148913.79055754954</v>
      </c>
      <c r="P35" s="38">
        <f t="shared" si="5"/>
        <v>165805.66485400556</v>
      </c>
      <c r="Q35" s="38">
        <f t="shared" si="5"/>
        <v>165805.66485400556</v>
      </c>
      <c r="R35" s="38">
        <f t="shared" si="5"/>
        <v>165805.66485400556</v>
      </c>
      <c r="S35" s="38">
        <f t="shared" si="5"/>
        <v>165805.66485400556</v>
      </c>
      <c r="T35" s="38">
        <f t="shared" si="5"/>
        <v>165805.66485400556</v>
      </c>
      <c r="U35" s="38">
        <f t="shared" si="5"/>
        <v>165805.66485400556</v>
      </c>
      <c r="V35" s="38">
        <f t="shared" si="5"/>
        <v>165805.66485400556</v>
      </c>
      <c r="W35" s="38">
        <f t="shared" si="5"/>
        <v>165805.66485400556</v>
      </c>
      <c r="X35" s="38">
        <f t="shared" si="5"/>
        <v>165805.66485400556</v>
      </c>
      <c r="Y35" s="38">
        <f t="shared" si="5"/>
        <v>165805.66485400556</v>
      </c>
    </row>
    <row r="37" spans="1:25" x14ac:dyDescent="0.25">
      <c r="A37" s="39" t="s">
        <v>169</v>
      </c>
      <c r="E37" s="2">
        <f>+E19-E31</f>
        <v>-1248000</v>
      </c>
      <c r="F37" s="2">
        <f>+F19+F31</f>
        <v>123990.26081448898</v>
      </c>
      <c r="G37" s="2">
        <f t="shared" ref="G37:Y37" si="6">+G19+G31</f>
        <v>122915.31154177766</v>
      </c>
      <c r="H37" s="2">
        <f t="shared" si="6"/>
        <v>121711.36835634103</v>
      </c>
      <c r="I37" s="2">
        <f t="shared" si="6"/>
        <v>120362.95198865197</v>
      </c>
      <c r="J37" s="2">
        <f t="shared" si="6"/>
        <v>118852.72565684022</v>
      </c>
      <c r="K37" s="2">
        <f t="shared" si="6"/>
        <v>117161.27216521109</v>
      </c>
      <c r="L37" s="2">
        <f t="shared" si="6"/>
        <v>115266.84425458644</v>
      </c>
      <c r="M37" s="2">
        <f t="shared" si="6"/>
        <v>113145.08499468683</v>
      </c>
      <c r="N37" s="2">
        <f t="shared" si="6"/>
        <v>110768.71462359928</v>
      </c>
      <c r="O37" s="2">
        <f t="shared" si="6"/>
        <v>108107.17980798119</v>
      </c>
      <c r="P37" s="2">
        <f t="shared" si="6"/>
        <v>290605.66485400556</v>
      </c>
      <c r="Q37" s="2">
        <f t="shared" si="6"/>
        <v>290605.66485400556</v>
      </c>
      <c r="R37" s="2">
        <f t="shared" si="6"/>
        <v>290605.66485400556</v>
      </c>
      <c r="S37" s="2">
        <f t="shared" si="6"/>
        <v>290605.66485400556</v>
      </c>
      <c r="T37" s="2">
        <f t="shared" si="6"/>
        <v>290605.66485400556</v>
      </c>
      <c r="U37" s="2">
        <f t="shared" si="6"/>
        <v>290605.66485400556</v>
      </c>
      <c r="V37" s="2">
        <f t="shared" si="6"/>
        <v>290605.66485400556</v>
      </c>
      <c r="W37" s="2">
        <f t="shared" si="6"/>
        <v>290605.66485400556</v>
      </c>
      <c r="X37" s="2">
        <f t="shared" si="6"/>
        <v>290605.66485400556</v>
      </c>
      <c r="Y37" s="2">
        <f t="shared" si="6"/>
        <v>290605.66485400556</v>
      </c>
    </row>
    <row r="38" spans="1:25" x14ac:dyDescent="0.25">
      <c r="A38" s="39" t="s">
        <v>170</v>
      </c>
      <c r="E38" s="2">
        <f>+E37</f>
        <v>-1248000</v>
      </c>
      <c r="F38" s="2">
        <f>+E38+F37</f>
        <v>-1124009.7391855111</v>
      </c>
      <c r="G38" s="2">
        <f t="shared" ref="G38:Y38" si="7">+F38+G37</f>
        <v>-1001094.4276437334</v>
      </c>
      <c r="H38" s="2">
        <f t="shared" si="7"/>
        <v>-879383.05928739242</v>
      </c>
      <c r="I38" s="2">
        <f t="shared" si="7"/>
        <v>-759020.10729874042</v>
      </c>
      <c r="J38" s="2">
        <f t="shared" si="7"/>
        <v>-640167.38164190017</v>
      </c>
      <c r="K38" s="2">
        <f t="shared" si="7"/>
        <v>-523006.10947668907</v>
      </c>
      <c r="L38" s="2">
        <f t="shared" si="7"/>
        <v>-407739.26522210264</v>
      </c>
      <c r="M38" s="2">
        <f t="shared" si="7"/>
        <v>-294594.18022741581</v>
      </c>
      <c r="N38" s="2">
        <f t="shared" si="7"/>
        <v>-183825.46560381653</v>
      </c>
      <c r="O38" s="2">
        <f t="shared" si="7"/>
        <v>-75718.285795835342</v>
      </c>
      <c r="P38" s="2">
        <f t="shared" si="7"/>
        <v>214887.37905817022</v>
      </c>
      <c r="Q38" s="2">
        <f t="shared" si="7"/>
        <v>505493.04391217581</v>
      </c>
      <c r="R38" s="2">
        <f t="shared" si="7"/>
        <v>796098.70876618137</v>
      </c>
      <c r="S38" s="2">
        <f t="shared" si="7"/>
        <v>1086704.3736201869</v>
      </c>
      <c r="T38" s="2">
        <f t="shared" si="7"/>
        <v>1377310.0384741924</v>
      </c>
      <c r="U38" s="2">
        <f t="shared" si="7"/>
        <v>1667915.7033281978</v>
      </c>
      <c r="V38" s="2">
        <f t="shared" si="7"/>
        <v>1958521.3681822033</v>
      </c>
      <c r="W38" s="2">
        <f t="shared" si="7"/>
        <v>2249127.0330362087</v>
      </c>
      <c r="X38" s="2">
        <f t="shared" si="7"/>
        <v>2539732.6978902142</v>
      </c>
      <c r="Y38" s="2">
        <f t="shared" si="7"/>
        <v>2830338.3627442196</v>
      </c>
    </row>
    <row r="39" spans="1:25" x14ac:dyDescent="0.25">
      <c r="A39" s="15"/>
    </row>
    <row r="40" spans="1:25" x14ac:dyDescent="0.25">
      <c r="A40" s="39" t="s">
        <v>58</v>
      </c>
      <c r="E40" s="6">
        <f>+PomTab1!K25</f>
        <v>0.11011217948717948</v>
      </c>
    </row>
    <row r="41" spans="1:25" x14ac:dyDescent="0.25">
      <c r="A41" s="39" t="s">
        <v>171</v>
      </c>
      <c r="E41" s="2">
        <f>IF(E9&lt;&gt;"",E37*(1+$E$40)^-E9,"")</f>
        <v>-1248000</v>
      </c>
      <c r="F41" s="2">
        <f>IF(F9&lt;&gt;"",F37*(1+$E$40)^-F9,"")</f>
        <v>111691.6498220628</v>
      </c>
      <c r="G41" s="2">
        <f t="shared" ref="G41:Y41" si="8">IF(G9&lt;&gt;"",G37*(1+$E$40)^-G9,"")</f>
        <v>99740.663116080032</v>
      </c>
      <c r="H41" s="2">
        <f t="shared" si="8"/>
        <v>88967.327013933857</v>
      </c>
      <c r="I41" s="2">
        <f t="shared" si="8"/>
        <v>79254.760988075126</v>
      </c>
      <c r="J41" s="2">
        <f t="shared" si="8"/>
        <v>70497.677290139007</v>
      </c>
      <c r="K41" s="2">
        <f t="shared" si="8"/>
        <v>62601.231056095625</v>
      </c>
      <c r="L41" s="2">
        <f t="shared" si="8"/>
        <v>55479.984469580158</v>
      </c>
      <c r="M41" s="2">
        <f t="shared" si="8"/>
        <v>49056.973669955056</v>
      </c>
      <c r="N41" s="2">
        <f t="shared" si="8"/>
        <v>43262.868213839938</v>
      </c>
      <c r="O41" s="2">
        <f t="shared" si="8"/>
        <v>38035.213909717262</v>
      </c>
      <c r="P41" s="2">
        <f t="shared" si="8"/>
        <v>92101.888099331292</v>
      </c>
      <c r="Q41" s="2">
        <f t="shared" si="8"/>
        <v>82966.289174377031</v>
      </c>
      <c r="R41" s="2">
        <f t="shared" si="8"/>
        <v>74736.85156098695</v>
      </c>
      <c r="S41" s="2">
        <f t="shared" si="8"/>
        <v>67323.692994262907</v>
      </c>
      <c r="T41" s="2">
        <f t="shared" si="8"/>
        <v>60645.846643501674</v>
      </c>
      <c r="U41" s="2">
        <f t="shared" si="8"/>
        <v>54630.376789053196</v>
      </c>
      <c r="V41" s="2">
        <f t="shared" si="8"/>
        <v>49211.582215312606</v>
      </c>
      <c r="W41" s="2">
        <f t="shared" si="8"/>
        <v>44330.278619270772</v>
      </c>
      <c r="X41" s="2">
        <f t="shared" si="8"/>
        <v>39933.152197059324</v>
      </c>
      <c r="Y41" s="2">
        <f t="shared" si="8"/>
        <v>35972.177348334822</v>
      </c>
    </row>
    <row r="42" spans="1:25" x14ac:dyDescent="0.25">
      <c r="A42" s="39" t="s">
        <v>172</v>
      </c>
      <c r="E42" s="2">
        <f>+E41</f>
        <v>-1248000</v>
      </c>
      <c r="F42" s="2">
        <f>+E42+F41</f>
        <v>-1136308.3501779372</v>
      </c>
      <c r="G42" s="2">
        <f t="shared" ref="G42:Y42" si="9">+F42+G41</f>
        <v>-1036567.6870618572</v>
      </c>
      <c r="H42" s="2">
        <f t="shared" si="9"/>
        <v>-947600.3600479234</v>
      </c>
      <c r="I42" s="2">
        <f t="shared" si="9"/>
        <v>-868345.59905984823</v>
      </c>
      <c r="J42" s="2">
        <f t="shared" si="9"/>
        <v>-797847.92176970921</v>
      </c>
      <c r="K42" s="2">
        <f t="shared" si="9"/>
        <v>-735246.69071361353</v>
      </c>
      <c r="L42" s="2">
        <f t="shared" si="9"/>
        <v>-679766.70624403341</v>
      </c>
      <c r="M42" s="2">
        <f t="shared" si="9"/>
        <v>-630709.73257407837</v>
      </c>
      <c r="N42" s="2">
        <f t="shared" si="9"/>
        <v>-587446.86436023843</v>
      </c>
      <c r="O42" s="2">
        <f t="shared" si="9"/>
        <v>-549411.65045052115</v>
      </c>
      <c r="P42" s="2">
        <f t="shared" si="9"/>
        <v>-457309.76235118986</v>
      </c>
      <c r="Q42" s="2">
        <f t="shared" si="9"/>
        <v>-374343.47317681281</v>
      </c>
      <c r="R42" s="2">
        <f t="shared" si="9"/>
        <v>-299606.62161582586</v>
      </c>
      <c r="S42" s="2">
        <f t="shared" si="9"/>
        <v>-232282.92862156295</v>
      </c>
      <c r="T42" s="2">
        <f t="shared" si="9"/>
        <v>-171637.08197806129</v>
      </c>
      <c r="U42" s="2">
        <f t="shared" si="9"/>
        <v>-117006.70518900809</v>
      </c>
      <c r="V42" s="2">
        <f t="shared" si="9"/>
        <v>-67795.122973695485</v>
      </c>
      <c r="W42" s="2">
        <f t="shared" si="9"/>
        <v>-23464.844354424713</v>
      </c>
      <c r="X42" s="2">
        <f t="shared" si="9"/>
        <v>16468.307842634611</v>
      </c>
      <c r="Y42" s="2">
        <f t="shared" si="9"/>
        <v>52440.485190969433</v>
      </c>
    </row>
    <row r="43" spans="1:25" x14ac:dyDescent="0.25">
      <c r="A43" s="39"/>
    </row>
    <row r="44" spans="1:25" x14ac:dyDescent="0.25">
      <c r="A44" s="40" t="s">
        <v>173</v>
      </c>
      <c r="B44" s="43"/>
      <c r="C44" s="43"/>
      <c r="D44" s="43"/>
      <c r="E44" s="44">
        <f>+NPV(E40,E37:Y37)</f>
        <v>47238.906265486257</v>
      </c>
      <c r="F44" s="43"/>
    </row>
    <row r="45" spans="1:25" x14ac:dyDescent="0.25">
      <c r="A45" s="40" t="s">
        <v>174</v>
      </c>
      <c r="B45" s="43"/>
      <c r="C45" s="43"/>
      <c r="D45" s="43"/>
      <c r="E45" s="45">
        <f>+IRR(E37:Y37,10)</f>
        <v>0.11511839368828092</v>
      </c>
      <c r="F45" s="43"/>
    </row>
    <row r="46" spans="1:25" x14ac:dyDescent="0.25">
      <c r="A46" s="40" t="s">
        <v>175</v>
      </c>
      <c r="B46" s="43"/>
      <c r="C46" s="43"/>
      <c r="D46" s="43"/>
      <c r="E46" s="44">
        <v>0.75</v>
      </c>
      <c r="F46" s="43"/>
      <c r="G46" s="41"/>
    </row>
    <row r="47" spans="1:25" x14ac:dyDescent="0.25">
      <c r="A47" s="40" t="s">
        <v>176</v>
      </c>
      <c r="B47" s="43"/>
      <c r="C47" s="43"/>
      <c r="D47" s="43"/>
      <c r="E47" s="43" cm="1">
        <f t="array" ref="E47">+LOOKUP(INDEX(E38:Y38,MATCH(TRUE,E38:Y38&gt;0,0)),E38:Y38,E9:Y9)</f>
        <v>11</v>
      </c>
      <c r="F47" s="43" t="s">
        <v>178</v>
      </c>
    </row>
    <row r="48" spans="1:25" x14ac:dyDescent="0.25">
      <c r="A48" s="40" t="s">
        <v>177</v>
      </c>
      <c r="B48" s="43"/>
      <c r="C48" s="43"/>
      <c r="D48" s="43"/>
      <c r="E48" s="43" cm="1">
        <f t="array" ref="E48">+LOOKUP(INDEX(E42:Y42,MATCH(TRUE,E42:Y42&gt;0,0)),E42:Y42,E9:Y9)</f>
        <v>19</v>
      </c>
      <c r="F48" s="43" t="s">
        <v>178</v>
      </c>
    </row>
    <row r="50" spans="1:26" x14ac:dyDescent="0.25">
      <c r="A50" s="74" t="s">
        <v>179</v>
      </c>
      <c r="B50" s="74"/>
      <c r="C50" s="74"/>
      <c r="D50" s="74"/>
      <c r="E50" s="2">
        <f>IF(E9&lt;&gt;"",E31,"")</f>
        <v>1248000</v>
      </c>
      <c r="F50" s="2">
        <f>IF(F9&lt;&gt;"",F31,"")</f>
        <v>-248415.22724904696</v>
      </c>
      <c r="G50" s="2">
        <f t="shared" ref="G50:Y50" si="10">IF(G9&lt;&gt;"",G31,"")</f>
        <v>-249490.17652175829</v>
      </c>
      <c r="H50" s="2">
        <f t="shared" si="10"/>
        <v>-250694.11970719491</v>
      </c>
      <c r="I50" s="2">
        <f t="shared" si="10"/>
        <v>-252042.53607488397</v>
      </c>
      <c r="J50" s="2">
        <f t="shared" si="10"/>
        <v>-253552.76240669572</v>
      </c>
      <c r="K50" s="2">
        <f t="shared" si="10"/>
        <v>-255244.21589832485</v>
      </c>
      <c r="L50" s="2">
        <f t="shared" si="10"/>
        <v>-257138.64380894951</v>
      </c>
      <c r="M50" s="2">
        <f t="shared" si="10"/>
        <v>-259260.40306884912</v>
      </c>
      <c r="N50" s="2">
        <f t="shared" si="10"/>
        <v>-261636.77343993666</v>
      </c>
      <c r="O50" s="2">
        <f t="shared" si="10"/>
        <v>-264298.30825555476</v>
      </c>
      <c r="P50" s="2">
        <f t="shared" si="10"/>
        <v>-81799.823209530383</v>
      </c>
      <c r="Q50" s="2">
        <f t="shared" si="10"/>
        <v>-81799.823209530383</v>
      </c>
      <c r="R50" s="2">
        <f t="shared" si="10"/>
        <v>-81799.823209530383</v>
      </c>
      <c r="S50" s="2">
        <f t="shared" si="10"/>
        <v>-81799.823209530383</v>
      </c>
      <c r="T50" s="2">
        <f t="shared" si="10"/>
        <v>-81799.823209530383</v>
      </c>
      <c r="U50" s="2">
        <f t="shared" si="10"/>
        <v>-81799.823209530383</v>
      </c>
      <c r="V50" s="2">
        <f t="shared" si="10"/>
        <v>-81799.823209530383</v>
      </c>
      <c r="W50" s="2">
        <f t="shared" si="10"/>
        <v>-81799.823209530383</v>
      </c>
      <c r="X50" s="2">
        <f t="shared" si="10"/>
        <v>-81799.823209530383</v>
      </c>
      <c r="Y50" s="2">
        <f t="shared" si="10"/>
        <v>-81799.823209530383</v>
      </c>
      <c r="Z50" s="2"/>
    </row>
    <row r="51" spans="1:26" x14ac:dyDescent="0.25">
      <c r="A51" s="74" t="s">
        <v>180</v>
      </c>
      <c r="B51" s="74"/>
      <c r="C51" s="74"/>
      <c r="D51" s="74"/>
      <c r="E51" s="2">
        <f>IF(E9&lt;&gt;"",E50*(1+D40)^-E9,"")</f>
        <v>1248000</v>
      </c>
      <c r="F51" s="2">
        <f>IF(F9&lt;&gt;"",F50*(1+E40)^-F9,"")</f>
        <v>-223774.88675406057</v>
      </c>
      <c r="G51" s="2">
        <f t="shared" ref="G51:Y51" si="11">IF(G9&lt;&gt;"",G50*(1+F40)^-G9,"")</f>
        <v>-249490.17652175829</v>
      </c>
      <c r="H51" s="2">
        <f t="shared" si="11"/>
        <v>-250694.11970719491</v>
      </c>
      <c r="I51" s="2">
        <f t="shared" si="11"/>
        <v>-252042.53607488397</v>
      </c>
      <c r="J51" s="2">
        <f t="shared" si="11"/>
        <v>-253552.76240669572</v>
      </c>
      <c r="K51" s="2">
        <f t="shared" si="11"/>
        <v>-255244.21589832485</v>
      </c>
      <c r="L51" s="2">
        <f t="shared" si="11"/>
        <v>-257138.64380894951</v>
      </c>
      <c r="M51" s="2">
        <f t="shared" si="11"/>
        <v>-259260.40306884912</v>
      </c>
      <c r="N51" s="2">
        <f t="shared" si="11"/>
        <v>-261636.77343993666</v>
      </c>
      <c r="O51" s="2">
        <f t="shared" si="11"/>
        <v>-264298.30825555476</v>
      </c>
      <c r="P51" s="2">
        <f t="shared" si="11"/>
        <v>-81799.823209530383</v>
      </c>
      <c r="Q51" s="2">
        <f t="shared" si="11"/>
        <v>-81799.823209530383</v>
      </c>
      <c r="R51" s="2">
        <f t="shared" si="11"/>
        <v>-81799.823209530383</v>
      </c>
      <c r="S51" s="2">
        <f t="shared" si="11"/>
        <v>-81799.823209530383</v>
      </c>
      <c r="T51" s="2">
        <f t="shared" si="11"/>
        <v>-81799.823209530383</v>
      </c>
      <c r="U51" s="2">
        <f t="shared" si="11"/>
        <v>-81799.823209530383</v>
      </c>
      <c r="V51" s="2">
        <f t="shared" si="11"/>
        <v>-81799.823209530383</v>
      </c>
      <c r="W51" s="2">
        <f t="shared" si="11"/>
        <v>-81799.823209530383</v>
      </c>
      <c r="X51" s="2">
        <f t="shared" si="11"/>
        <v>-81799.823209530383</v>
      </c>
      <c r="Y51" s="2">
        <f t="shared" si="11"/>
        <v>-81799.823209530383</v>
      </c>
      <c r="Z51" s="2"/>
    </row>
    <row r="52" spans="1:26" x14ac:dyDescent="0.25">
      <c r="A52" s="74" t="s">
        <v>181</v>
      </c>
      <c r="B52" s="74"/>
      <c r="C52" s="74"/>
      <c r="D52" s="74"/>
      <c r="E52" s="2">
        <f>-E11</f>
        <v>-1048000</v>
      </c>
      <c r="F52" s="2">
        <f t="shared" ref="F52:Y52" si="12">IF(F9&lt;&gt;"",E52+F51,"")</f>
        <v>-1271774.8867540606</v>
      </c>
      <c r="G52" s="2">
        <f t="shared" si="12"/>
        <v>-1521265.0632758189</v>
      </c>
      <c r="H52" s="2">
        <f t="shared" si="12"/>
        <v>-1771959.1829830138</v>
      </c>
      <c r="I52" s="2">
        <f t="shared" si="12"/>
        <v>-2024001.7190578978</v>
      </c>
      <c r="J52" s="2">
        <f t="shared" si="12"/>
        <v>-2277554.4814645937</v>
      </c>
      <c r="K52" s="2">
        <f t="shared" si="12"/>
        <v>-2532798.6973629184</v>
      </c>
      <c r="L52" s="2">
        <f t="shared" si="12"/>
        <v>-2789937.3411718681</v>
      </c>
      <c r="M52" s="2">
        <f t="shared" si="12"/>
        <v>-3049197.744240717</v>
      </c>
      <c r="N52" s="2">
        <f t="shared" si="12"/>
        <v>-3310834.5176806538</v>
      </c>
      <c r="O52" s="2">
        <f t="shared" si="12"/>
        <v>-3575132.8259362085</v>
      </c>
      <c r="P52" s="2">
        <f t="shared" si="12"/>
        <v>-3656932.6491457387</v>
      </c>
      <c r="Q52" s="2">
        <f t="shared" si="12"/>
        <v>-3738732.4723552689</v>
      </c>
      <c r="R52" s="2">
        <f t="shared" si="12"/>
        <v>-3820532.2955647991</v>
      </c>
      <c r="S52" s="2">
        <f t="shared" si="12"/>
        <v>-3902332.1187743293</v>
      </c>
      <c r="T52" s="2">
        <f t="shared" si="12"/>
        <v>-3984131.9419838595</v>
      </c>
      <c r="U52" s="2">
        <f t="shared" si="12"/>
        <v>-4065931.7651933897</v>
      </c>
      <c r="V52" s="2">
        <f t="shared" si="12"/>
        <v>-4147731.5884029199</v>
      </c>
      <c r="W52" s="2">
        <f t="shared" si="12"/>
        <v>-4229531.4116124501</v>
      </c>
      <c r="X52" s="2">
        <f t="shared" si="12"/>
        <v>-4311331.2348219808</v>
      </c>
      <c r="Y52" s="2">
        <f t="shared" si="12"/>
        <v>-4393131.0580315115</v>
      </c>
    </row>
    <row r="53" spans="1:26" x14ac:dyDescent="0.25">
      <c r="A53" s="74" t="s">
        <v>182</v>
      </c>
      <c r="B53" s="74"/>
      <c r="C53" s="74"/>
      <c r="D53" s="74"/>
      <c r="F53" s="2">
        <f t="shared" ref="F53:Y53" si="13">IF(F9&lt;&gt;"",F19,"")</f>
        <v>372405.48806353594</v>
      </c>
      <c r="G53" s="2">
        <f t="shared" si="13"/>
        <v>372405.48806353594</v>
      </c>
      <c r="H53" s="2">
        <f t="shared" si="13"/>
        <v>372405.48806353594</v>
      </c>
      <c r="I53" s="2">
        <f t="shared" si="13"/>
        <v>372405.48806353594</v>
      </c>
      <c r="J53" s="2">
        <f t="shared" si="13"/>
        <v>372405.48806353594</v>
      </c>
      <c r="K53" s="2">
        <f t="shared" si="13"/>
        <v>372405.48806353594</v>
      </c>
      <c r="L53" s="2">
        <f t="shared" si="13"/>
        <v>372405.48806353594</v>
      </c>
      <c r="M53" s="2">
        <f t="shared" si="13"/>
        <v>372405.48806353594</v>
      </c>
      <c r="N53" s="2">
        <f t="shared" si="13"/>
        <v>372405.48806353594</v>
      </c>
      <c r="O53" s="2">
        <f t="shared" si="13"/>
        <v>372405.48806353594</v>
      </c>
      <c r="P53" s="2">
        <f t="shared" si="13"/>
        <v>372405.48806353594</v>
      </c>
      <c r="Q53" s="2">
        <f t="shared" si="13"/>
        <v>372405.48806353594</v>
      </c>
      <c r="R53" s="2">
        <f t="shared" si="13"/>
        <v>372405.48806353594</v>
      </c>
      <c r="S53" s="2">
        <f t="shared" si="13"/>
        <v>372405.48806353594</v>
      </c>
      <c r="T53" s="2">
        <f t="shared" si="13"/>
        <v>372405.48806353594</v>
      </c>
      <c r="U53" s="2">
        <f t="shared" si="13"/>
        <v>372405.48806353594</v>
      </c>
      <c r="V53" s="2">
        <f t="shared" si="13"/>
        <v>372405.48806353594</v>
      </c>
      <c r="W53" s="2">
        <f t="shared" si="13"/>
        <v>372405.48806353594</v>
      </c>
      <c r="X53" s="2">
        <f t="shared" si="13"/>
        <v>372405.48806353594</v>
      </c>
      <c r="Y53" s="2">
        <f t="shared" si="13"/>
        <v>372405.48806353594</v>
      </c>
    </row>
    <row r="54" spans="1:26" x14ac:dyDescent="0.25">
      <c r="A54" s="74" t="s">
        <v>183</v>
      </c>
      <c r="B54" s="74"/>
      <c r="C54" s="74"/>
      <c r="D54" s="74"/>
      <c r="F54" s="2">
        <f>IF(F9&lt;&gt;"",F53*(1+E40)^-F9,"")</f>
        <v>335466.53657612338</v>
      </c>
      <c r="G54" s="2">
        <f t="shared" ref="G54:Y54" si="14">IF(G9&lt;&gt;"",G53*(1+F40)^-G9,"")</f>
        <v>372405.48806353594</v>
      </c>
      <c r="H54" s="2">
        <f t="shared" si="14"/>
        <v>372405.48806353594</v>
      </c>
      <c r="I54" s="2">
        <f t="shared" si="14"/>
        <v>372405.48806353594</v>
      </c>
      <c r="J54" s="2">
        <f t="shared" si="14"/>
        <v>372405.48806353594</v>
      </c>
      <c r="K54" s="2">
        <f t="shared" si="14"/>
        <v>372405.48806353594</v>
      </c>
      <c r="L54" s="2">
        <f t="shared" si="14"/>
        <v>372405.48806353594</v>
      </c>
      <c r="M54" s="2">
        <f t="shared" si="14"/>
        <v>372405.48806353594</v>
      </c>
      <c r="N54" s="2">
        <f t="shared" si="14"/>
        <v>372405.48806353594</v>
      </c>
      <c r="O54" s="2">
        <f t="shared" si="14"/>
        <v>372405.48806353594</v>
      </c>
      <c r="P54" s="2">
        <f t="shared" si="14"/>
        <v>372405.48806353594</v>
      </c>
      <c r="Q54" s="2">
        <f t="shared" si="14"/>
        <v>372405.48806353594</v>
      </c>
      <c r="R54" s="2">
        <f t="shared" si="14"/>
        <v>372405.48806353594</v>
      </c>
      <c r="S54" s="2">
        <f t="shared" si="14"/>
        <v>372405.48806353594</v>
      </c>
      <c r="T54" s="2">
        <f t="shared" si="14"/>
        <v>372405.48806353594</v>
      </c>
      <c r="U54" s="2">
        <f t="shared" si="14"/>
        <v>372405.48806353594</v>
      </c>
      <c r="V54" s="2">
        <f t="shared" si="14"/>
        <v>372405.48806353594</v>
      </c>
      <c r="W54" s="2">
        <f t="shared" si="14"/>
        <v>372405.48806353594</v>
      </c>
      <c r="X54" s="2">
        <f t="shared" si="14"/>
        <v>372405.48806353594</v>
      </c>
      <c r="Y54" s="2">
        <f t="shared" si="14"/>
        <v>372405.48806353594</v>
      </c>
    </row>
    <row r="55" spans="1:26" x14ac:dyDescent="0.25">
      <c r="A55" s="74" t="s">
        <v>184</v>
      </c>
      <c r="B55" s="74"/>
      <c r="C55" s="74"/>
      <c r="D55" s="74"/>
      <c r="F55" s="2">
        <f t="shared" ref="F55:Y55" si="15">IF(F9&lt;&gt;"",E55+F54,"")</f>
        <v>335466.53657612338</v>
      </c>
      <c r="G55" s="2">
        <f t="shared" si="15"/>
        <v>707872.02463965933</v>
      </c>
      <c r="H55" s="2">
        <f t="shared" si="15"/>
        <v>1080277.5127031952</v>
      </c>
      <c r="I55" s="2">
        <f t="shared" si="15"/>
        <v>1452683.0007667311</v>
      </c>
      <c r="J55" s="2">
        <f t="shared" si="15"/>
        <v>1825088.488830267</v>
      </c>
      <c r="K55" s="2">
        <f t="shared" si="15"/>
        <v>2197493.9768938031</v>
      </c>
      <c r="L55" s="2">
        <f t="shared" si="15"/>
        <v>2569899.4649573392</v>
      </c>
      <c r="M55" s="2">
        <f t="shared" si="15"/>
        <v>2942304.9530208753</v>
      </c>
      <c r="N55" s="2">
        <f t="shared" si="15"/>
        <v>3314710.4410844115</v>
      </c>
      <c r="O55" s="2">
        <f t="shared" si="15"/>
        <v>3687115.9291479476</v>
      </c>
      <c r="P55" s="2">
        <f t="shared" si="15"/>
        <v>4059521.4172114837</v>
      </c>
      <c r="Q55" s="2">
        <f t="shared" si="15"/>
        <v>4431926.9052750198</v>
      </c>
      <c r="R55" s="2">
        <f t="shared" si="15"/>
        <v>4804332.3933385555</v>
      </c>
      <c r="S55" s="2">
        <f t="shared" si="15"/>
        <v>5176737.8814020911</v>
      </c>
      <c r="T55" s="2">
        <f t="shared" si="15"/>
        <v>5549143.3694656268</v>
      </c>
      <c r="U55" s="2">
        <f t="shared" si="15"/>
        <v>5921548.8575291624</v>
      </c>
      <c r="V55" s="2">
        <f t="shared" si="15"/>
        <v>6293954.3455926981</v>
      </c>
      <c r="W55" s="2">
        <f t="shared" si="15"/>
        <v>6666359.8336562337</v>
      </c>
      <c r="X55" s="2">
        <f t="shared" si="15"/>
        <v>7038765.3217197694</v>
      </c>
      <c r="Y55" s="2">
        <f t="shared" si="15"/>
        <v>7411170.809783305</v>
      </c>
    </row>
    <row r="56" spans="1:26" x14ac:dyDescent="0.25">
      <c r="A56" s="74" t="s">
        <v>185</v>
      </c>
      <c r="B56" s="74"/>
      <c r="C56" s="74"/>
      <c r="D56" s="74"/>
      <c r="F56" s="2">
        <f t="shared" ref="F56:Y56" si="16">IF(F9&lt;&gt;"",F55+F52,"")</f>
        <v>-936308.35017793719</v>
      </c>
      <c r="G56" s="2">
        <f t="shared" si="16"/>
        <v>-813393.03863615962</v>
      </c>
      <c r="H56" s="2">
        <f t="shared" si="16"/>
        <v>-691681.67027981859</v>
      </c>
      <c r="I56" s="2">
        <f t="shared" si="16"/>
        <v>-571318.7182911667</v>
      </c>
      <c r="J56" s="2">
        <f t="shared" si="16"/>
        <v>-452465.99263432669</v>
      </c>
      <c r="K56" s="2">
        <f t="shared" si="16"/>
        <v>-335304.7204691153</v>
      </c>
      <c r="L56" s="2">
        <f t="shared" si="16"/>
        <v>-220037.87621452892</v>
      </c>
      <c r="M56" s="2">
        <f t="shared" si="16"/>
        <v>-106892.79121984169</v>
      </c>
      <c r="N56" s="2">
        <f t="shared" si="16"/>
        <v>3875.9234037576243</v>
      </c>
      <c r="O56" s="2">
        <f t="shared" si="16"/>
        <v>111983.1032117391</v>
      </c>
      <c r="P56" s="2">
        <f t="shared" si="16"/>
        <v>402588.76806574501</v>
      </c>
      <c r="Q56" s="2">
        <f t="shared" si="16"/>
        <v>693194.43291975092</v>
      </c>
      <c r="R56" s="2">
        <f t="shared" si="16"/>
        <v>983800.09777375637</v>
      </c>
      <c r="S56" s="2">
        <f t="shared" si="16"/>
        <v>1274405.7626277618</v>
      </c>
      <c r="T56" s="2">
        <f t="shared" si="16"/>
        <v>1565011.4274817673</v>
      </c>
      <c r="U56" s="2">
        <f t="shared" si="16"/>
        <v>1855617.0923357727</v>
      </c>
      <c r="V56" s="2">
        <f t="shared" si="16"/>
        <v>2146222.7571897781</v>
      </c>
      <c r="W56" s="2">
        <f t="shared" si="16"/>
        <v>2436828.4220437836</v>
      </c>
      <c r="X56" s="2">
        <f t="shared" si="16"/>
        <v>2727434.0868977886</v>
      </c>
      <c r="Y56" s="2">
        <f t="shared" si="16"/>
        <v>3018039.7517517935</v>
      </c>
    </row>
    <row r="57" spans="1:26" x14ac:dyDescent="0.25">
      <c r="A57" s="46" t="s">
        <v>186</v>
      </c>
      <c r="B57" s="46"/>
      <c r="C57" s="46"/>
      <c r="D57" s="46"/>
      <c r="E57" s="43"/>
      <c r="F57" s="47">
        <f>-F50/F14</f>
        <v>38.504360223602276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9" spans="1:26" x14ac:dyDescent="0.25">
      <c r="A59" s="74" t="s">
        <v>83</v>
      </c>
      <c r="B59" s="74"/>
      <c r="C59" s="74"/>
      <c r="D59" s="74"/>
      <c r="E59" s="2">
        <f>E11</f>
        <v>1048000</v>
      </c>
      <c r="F59" s="2">
        <f t="shared" ref="F59:Y59" si="17">IF(F9="",E59,-F52)</f>
        <v>1271774.8867540606</v>
      </c>
      <c r="G59" s="2">
        <f t="shared" si="17"/>
        <v>1521265.0632758189</v>
      </c>
      <c r="H59" s="2">
        <f t="shared" si="17"/>
        <v>1771959.1829830138</v>
      </c>
      <c r="I59" s="2">
        <f t="shared" si="17"/>
        <v>2024001.7190578978</v>
      </c>
      <c r="J59" s="2">
        <f t="shared" si="17"/>
        <v>2277554.4814645937</v>
      </c>
      <c r="K59" s="2">
        <f t="shared" si="17"/>
        <v>2532798.6973629184</v>
      </c>
      <c r="L59" s="2">
        <f t="shared" si="17"/>
        <v>2789937.3411718681</v>
      </c>
      <c r="M59" s="2">
        <f t="shared" si="17"/>
        <v>3049197.744240717</v>
      </c>
      <c r="N59" s="2">
        <f t="shared" si="17"/>
        <v>3310834.5176806538</v>
      </c>
      <c r="O59" s="2">
        <f t="shared" si="17"/>
        <v>3575132.8259362085</v>
      </c>
      <c r="P59" s="2">
        <f t="shared" si="17"/>
        <v>3656932.6491457387</v>
      </c>
      <c r="Q59" s="2">
        <f t="shared" si="17"/>
        <v>3738732.4723552689</v>
      </c>
      <c r="R59" s="2">
        <f t="shared" si="17"/>
        <v>3820532.2955647991</v>
      </c>
      <c r="S59" s="2">
        <f t="shared" si="17"/>
        <v>3902332.1187743293</v>
      </c>
      <c r="T59" s="2">
        <f t="shared" si="17"/>
        <v>3984131.9419838595</v>
      </c>
      <c r="U59" s="2">
        <f t="shared" si="17"/>
        <v>4065931.7651933897</v>
      </c>
      <c r="V59" s="2">
        <f t="shared" si="17"/>
        <v>4147731.5884029199</v>
      </c>
      <c r="W59" s="2">
        <f t="shared" si="17"/>
        <v>4229531.4116124501</v>
      </c>
      <c r="X59" s="2">
        <f t="shared" si="17"/>
        <v>4311331.2348219808</v>
      </c>
      <c r="Y59" s="2">
        <f t="shared" si="17"/>
        <v>4393131.0580315115</v>
      </c>
    </row>
    <row r="60" spans="1:26" x14ac:dyDescent="0.25">
      <c r="A60" s="74" t="s">
        <v>84</v>
      </c>
      <c r="B60" s="74"/>
      <c r="C60" s="74"/>
      <c r="D60" s="74"/>
      <c r="F60" s="2">
        <f t="shared" ref="F60:Y60" si="18">IF(F9="",E60,F55)</f>
        <v>335466.53657612338</v>
      </c>
      <c r="G60" s="2">
        <f t="shared" si="18"/>
        <v>707872.02463965933</v>
      </c>
      <c r="H60" s="2">
        <f t="shared" si="18"/>
        <v>1080277.5127031952</v>
      </c>
      <c r="I60" s="2">
        <f t="shared" si="18"/>
        <v>1452683.0007667311</v>
      </c>
      <c r="J60" s="2">
        <f t="shared" si="18"/>
        <v>1825088.488830267</v>
      </c>
      <c r="K60" s="2">
        <f t="shared" si="18"/>
        <v>2197493.9768938031</v>
      </c>
      <c r="L60" s="2">
        <f t="shared" si="18"/>
        <v>2569899.4649573392</v>
      </c>
      <c r="M60" s="2">
        <f t="shared" si="18"/>
        <v>2942304.9530208753</v>
      </c>
      <c r="N60" s="2">
        <f t="shared" si="18"/>
        <v>3314710.4410844115</v>
      </c>
      <c r="O60" s="2">
        <f t="shared" si="18"/>
        <v>3687115.9291479476</v>
      </c>
      <c r="P60" s="2">
        <f t="shared" si="18"/>
        <v>4059521.4172114837</v>
      </c>
      <c r="Q60" s="2">
        <f t="shared" si="18"/>
        <v>4431926.9052750198</v>
      </c>
      <c r="R60" s="2">
        <f t="shared" si="18"/>
        <v>4804332.3933385555</v>
      </c>
      <c r="S60" s="2">
        <f t="shared" si="18"/>
        <v>5176737.8814020911</v>
      </c>
      <c r="T60" s="2">
        <f t="shared" si="18"/>
        <v>5549143.3694656268</v>
      </c>
      <c r="U60" s="2">
        <f t="shared" si="18"/>
        <v>5921548.8575291624</v>
      </c>
      <c r="V60" s="2">
        <f t="shared" si="18"/>
        <v>6293954.3455926981</v>
      </c>
      <c r="W60" s="2">
        <f t="shared" si="18"/>
        <v>6666359.8336562337</v>
      </c>
      <c r="X60" s="2">
        <f t="shared" si="18"/>
        <v>7038765.3217197694</v>
      </c>
      <c r="Y60" s="2">
        <f t="shared" si="18"/>
        <v>7411170.809783305</v>
      </c>
    </row>
  </sheetData>
  <sheetProtection selectLockedCells="1"/>
  <mergeCells count="34">
    <mergeCell ref="A27:D27"/>
    <mergeCell ref="F3:I3"/>
    <mergeCell ref="A25:D25"/>
    <mergeCell ref="A17:D17"/>
    <mergeCell ref="A26:D26"/>
    <mergeCell ref="A22:D22"/>
    <mergeCell ref="A59:D59"/>
    <mergeCell ref="A60:D60"/>
    <mergeCell ref="N7:O7"/>
    <mergeCell ref="A56:D56"/>
    <mergeCell ref="A13:D13"/>
    <mergeCell ref="A18:D18"/>
    <mergeCell ref="A20:D20"/>
    <mergeCell ref="A14:D14"/>
    <mergeCell ref="A19:D19"/>
    <mergeCell ref="A24:D24"/>
    <mergeCell ref="A7:D7"/>
    <mergeCell ref="A9:D9"/>
    <mergeCell ref="A11:D11"/>
    <mergeCell ref="A12:D12"/>
    <mergeCell ref="I7:J7"/>
    <mergeCell ref="A21:D21"/>
    <mergeCell ref="A28:D28"/>
    <mergeCell ref="A55:D55"/>
    <mergeCell ref="A32:D32"/>
    <mergeCell ref="A33:D33"/>
    <mergeCell ref="A34:D34"/>
    <mergeCell ref="A35:D35"/>
    <mergeCell ref="A50:D50"/>
    <mergeCell ref="A51:D51"/>
    <mergeCell ref="A52:D52"/>
    <mergeCell ref="A54:D54"/>
    <mergeCell ref="A29:D29"/>
    <mergeCell ref="A53:D53"/>
  </mergeCells>
  <dataValidations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1"/>
  <sheetViews>
    <sheetView showZeros="0" zoomScale="80" zoomScaleNormal="80" workbookViewId="0">
      <selection activeCell="F19" sqref="F19"/>
    </sheetView>
  </sheetViews>
  <sheetFormatPr defaultRowHeight="15" x14ac:dyDescent="0.25"/>
  <cols>
    <col min="4" max="4" width="14.5703125" customWidth="1"/>
    <col min="5" max="5" width="14.140625" customWidth="1"/>
    <col min="6" max="6" width="13.28515625" customWidth="1"/>
    <col min="7" max="8" width="13.140625" customWidth="1"/>
    <col min="9" max="9" width="14" customWidth="1"/>
    <col min="10" max="10" width="13" customWidth="1"/>
    <col min="11" max="11" width="13.140625" customWidth="1"/>
    <col min="12" max="12" width="13.42578125" customWidth="1"/>
    <col min="13" max="13" width="13" customWidth="1"/>
    <col min="14" max="14" width="14.28515625" customWidth="1"/>
    <col min="15" max="16" width="13.85546875" customWidth="1"/>
    <col min="17" max="17" width="13" customWidth="1"/>
    <col min="18" max="18" width="13.42578125" customWidth="1"/>
    <col min="19" max="19" width="13.5703125" customWidth="1"/>
    <col min="20" max="20" width="14.28515625" customWidth="1"/>
    <col min="21" max="21" width="13.85546875" customWidth="1"/>
    <col min="22" max="22" width="13.140625" customWidth="1"/>
    <col min="23" max="23" width="13.42578125" customWidth="1"/>
    <col min="24" max="24" width="14.85546875" customWidth="1"/>
    <col min="25" max="25" width="13.5703125" customWidth="1"/>
  </cols>
  <sheetData>
    <row r="3" spans="1:25" ht="16.5" x14ac:dyDescent="0.35">
      <c r="F3" s="64" t="s">
        <v>196</v>
      </c>
      <c r="G3" s="64"/>
      <c r="H3" s="64"/>
      <c r="I3" s="64"/>
    </row>
    <row r="7" spans="1:25" ht="21" x14ac:dyDescent="0.35">
      <c r="A7" s="72" t="s">
        <v>197</v>
      </c>
      <c r="B7" s="72"/>
      <c r="C7" s="72"/>
      <c r="D7" s="72"/>
      <c r="I7" s="68" t="s">
        <v>138</v>
      </c>
      <c r="J7" s="68"/>
      <c r="N7" s="69" t="s">
        <v>139</v>
      </c>
      <c r="O7" s="69"/>
    </row>
    <row r="9" spans="1:25" x14ac:dyDescent="0.25">
      <c r="A9" s="67" t="s">
        <v>57</v>
      </c>
      <c r="B9" s="67"/>
      <c r="C9" s="67"/>
      <c r="D9" s="67"/>
      <c r="E9" s="13">
        <v>0</v>
      </c>
      <c r="F9" s="13">
        <v>1</v>
      </c>
      <c r="G9" s="13">
        <f>IF(F9&lt;UnosPodataka!$M$26,'FinInd+CO2'!F9+1,"")</f>
        <v>2</v>
      </c>
      <c r="H9" s="13">
        <f>IF(G9&lt;UnosPodataka!$M$26,'FinInd+CO2'!G9+1,"")</f>
        <v>3</v>
      </c>
      <c r="I9" s="13">
        <f>IF(H9&lt;UnosPodataka!$M$26,'FinInd+CO2'!H9+1,"")</f>
        <v>4</v>
      </c>
      <c r="J9" s="13">
        <f>IF(I9&lt;UnosPodataka!$M$26,'FinInd+CO2'!I9+1,"")</f>
        <v>5</v>
      </c>
      <c r="K9" s="13">
        <f>IF(J9&lt;UnosPodataka!$M$26,'FinInd+CO2'!J9+1,"")</f>
        <v>6</v>
      </c>
      <c r="L9" s="13">
        <f>IF(K9&lt;UnosPodataka!$M$26,'FinInd+CO2'!K9+1,"")</f>
        <v>7</v>
      </c>
      <c r="M9" s="13">
        <f>IF(L9&lt;UnosPodataka!$M$26,'FinInd+CO2'!L9+1,"")</f>
        <v>8</v>
      </c>
      <c r="N9" s="13">
        <f>IF(M9&lt;UnosPodataka!$M$26,'FinInd+CO2'!M9+1,"")</f>
        <v>9</v>
      </c>
      <c r="O9" s="13">
        <f>IF(N9&lt;UnosPodataka!$M$26,'FinInd+CO2'!N9+1,"")</f>
        <v>10</v>
      </c>
      <c r="P9" s="13">
        <f>IF(O9&lt;UnosPodataka!$M$26,'FinInd+CO2'!O9+1,"")</f>
        <v>11</v>
      </c>
      <c r="Q9" s="13">
        <f>IF(P9&lt;UnosPodataka!$M$26,'FinInd+CO2'!P9+1,"")</f>
        <v>12</v>
      </c>
      <c r="R9" s="13">
        <f>IF(Q9&lt;UnosPodataka!$M$26,'FinInd+CO2'!Q9+1,"")</f>
        <v>13</v>
      </c>
      <c r="S9" s="13">
        <f>IF(R9&lt;UnosPodataka!$M$26,'FinInd+CO2'!R9+1,"")</f>
        <v>14</v>
      </c>
      <c r="T9" s="13">
        <f>IF(S9&lt;UnosPodataka!$M$26,'FinInd+CO2'!S9+1,"")</f>
        <v>15</v>
      </c>
      <c r="U9" s="13">
        <f>IF(T9&lt;UnosPodataka!$M$26,'FinInd+CO2'!T9+1,"")</f>
        <v>16</v>
      </c>
      <c r="V9" s="13">
        <f>IF(U9&lt;UnosPodataka!$M$26,'FinInd+CO2'!U9+1,"")</f>
        <v>17</v>
      </c>
      <c r="W9" s="13">
        <f>IF(V9&lt;UnosPodataka!$M$26,'FinInd+CO2'!V9+1,"")</f>
        <v>18</v>
      </c>
      <c r="X9" s="13">
        <f>IF(W9&lt;UnosPodataka!$M$26,'FinInd+CO2'!W9+1,"")</f>
        <v>19</v>
      </c>
      <c r="Y9" s="13">
        <f>IF(X9&lt;UnosPodataka!$M$26,'FinInd+CO2'!X9+1,"")</f>
        <v>20</v>
      </c>
    </row>
    <row r="11" spans="1:25" x14ac:dyDescent="0.25">
      <c r="A11" s="74" t="s">
        <v>74</v>
      </c>
      <c r="B11" s="74"/>
      <c r="C11" s="74"/>
      <c r="D11" s="74"/>
      <c r="E11" s="2">
        <f>LOAN</f>
        <v>1048000</v>
      </c>
    </row>
    <row r="12" spans="1:25" x14ac:dyDescent="0.25">
      <c r="A12" s="74" t="s">
        <v>75</v>
      </c>
      <c r="B12" s="74"/>
      <c r="C12" s="74"/>
      <c r="D12" s="74"/>
      <c r="E12" s="2">
        <f>IF(Equity=0,LOAN,Equity)</f>
        <v>200000</v>
      </c>
    </row>
    <row r="13" spans="1:25" x14ac:dyDescent="0.25">
      <c r="A13" s="74" t="s">
        <v>155</v>
      </c>
      <c r="B13" s="74"/>
      <c r="C13" s="74"/>
      <c r="D13" s="74"/>
    </row>
    <row r="14" spans="1:25" x14ac:dyDescent="0.25">
      <c r="A14" s="74" t="s">
        <v>134</v>
      </c>
      <c r="B14" s="74"/>
      <c r="C14" s="74"/>
      <c r="D14" s="74"/>
      <c r="F14" s="2">
        <f>IF(F9&lt;&gt;"",Ustede!$F$20,"")</f>
        <v>6451.6129032258068</v>
      </c>
      <c r="G14" s="2">
        <f>IF(G9&lt;&gt;"",Ustede!$F$20,"")</f>
        <v>6451.6129032258068</v>
      </c>
      <c r="H14" s="2">
        <f>IF(H9&lt;&gt;"",Ustede!$F$20,"")</f>
        <v>6451.6129032258068</v>
      </c>
      <c r="I14" s="2">
        <f>IF(I9&lt;&gt;"",Ustede!$F$20,"")</f>
        <v>6451.6129032258068</v>
      </c>
      <c r="J14" s="2">
        <f>IF(J9&lt;&gt;"",Ustede!$F$20,"")</f>
        <v>6451.6129032258068</v>
      </c>
      <c r="K14" s="2">
        <f>IF(K9&lt;&gt;"",Ustede!$F$20,"")</f>
        <v>6451.6129032258068</v>
      </c>
      <c r="L14" s="2">
        <f>IF(L9&lt;&gt;"",Ustede!$F$20,"")</f>
        <v>6451.6129032258068</v>
      </c>
      <c r="M14" s="2">
        <f>IF(M9&lt;&gt;"",Ustede!$F$20,"")</f>
        <v>6451.6129032258068</v>
      </c>
      <c r="N14" s="2">
        <f>IF(N9&lt;&gt;"",Ustede!$F$20,"")</f>
        <v>6451.6129032258068</v>
      </c>
      <c r="O14" s="2">
        <f>IF(O9&lt;&gt;"",Ustede!$F$20,"")</f>
        <v>6451.6129032258068</v>
      </c>
      <c r="P14" s="2">
        <f>IF(P9&lt;&gt;"",Ustede!$F$20,"")</f>
        <v>6451.6129032258068</v>
      </c>
      <c r="Q14" s="2">
        <f>IF(Q9&lt;&gt;"",Ustede!$F$20,"")</f>
        <v>6451.6129032258068</v>
      </c>
      <c r="R14" s="2">
        <f>IF(R9&lt;&gt;"",Ustede!$F$20,"")</f>
        <v>6451.6129032258068</v>
      </c>
      <c r="S14" s="2">
        <f>IF(S9&lt;&gt;"",Ustede!$F$20,"")</f>
        <v>6451.6129032258068</v>
      </c>
      <c r="T14" s="2">
        <f>IF(T9&lt;&gt;"",Ustede!$F$20,"")</f>
        <v>6451.6129032258068</v>
      </c>
      <c r="U14" s="2">
        <f>IF(U9&lt;&gt;"",Ustede!$F$20,"")</f>
        <v>6451.6129032258068</v>
      </c>
      <c r="V14" s="2">
        <f>IF(V9&lt;&gt;"",Ustede!$F$20,"")</f>
        <v>6451.6129032258068</v>
      </c>
      <c r="W14" s="2">
        <f>IF(W9&lt;&gt;"",Ustede!$F$20,"")</f>
        <v>6451.6129032258068</v>
      </c>
      <c r="X14" s="2">
        <f>IF(X9&lt;&gt;"",Ustede!$F$20,"")</f>
        <v>6451.6129032258068</v>
      </c>
      <c r="Y14" s="2">
        <f>IF(Y9&lt;&gt;"",Ustede!$F$20,"")</f>
        <v>6451.6129032258068</v>
      </c>
    </row>
    <row r="15" spans="1:25" x14ac:dyDescent="0.25">
      <c r="A15" s="22" t="s">
        <v>135</v>
      </c>
      <c r="B15" s="22"/>
      <c r="C15" s="22"/>
      <c r="D15" s="22"/>
      <c r="F15" s="2">
        <f>IF(F9&lt;&gt;"",Ustede!$F$21,"")</f>
        <v>145.16129032258064</v>
      </c>
      <c r="G15" s="2">
        <f>IF(G9&lt;&gt;"",Ustede!$F$21,"")</f>
        <v>145.16129032258064</v>
      </c>
      <c r="H15" s="2">
        <f>IF(H9&lt;&gt;"",Ustede!$F$21,"")</f>
        <v>145.16129032258064</v>
      </c>
      <c r="I15" s="2">
        <f>IF(I9&lt;&gt;"",Ustede!$F$21,"")</f>
        <v>145.16129032258064</v>
      </c>
      <c r="J15" s="2">
        <f>IF(J9&lt;&gt;"",Ustede!$F$21,"")</f>
        <v>145.16129032258064</v>
      </c>
      <c r="K15" s="2">
        <f>IF(K9&lt;&gt;"",Ustede!$F$21,"")</f>
        <v>145.16129032258064</v>
      </c>
      <c r="L15" s="2">
        <f>IF(L9&lt;&gt;"",Ustede!$F$21,"")</f>
        <v>145.16129032258064</v>
      </c>
      <c r="M15" s="2">
        <f>IF(M9&lt;&gt;"",Ustede!$F$21,"")</f>
        <v>145.16129032258064</v>
      </c>
      <c r="N15" s="2">
        <f>IF(N9&lt;&gt;"",Ustede!$F$21,"")</f>
        <v>145.16129032258064</v>
      </c>
      <c r="O15" s="2">
        <f>IF(O9&lt;&gt;"",Ustede!$F$21,"")</f>
        <v>145.16129032258064</v>
      </c>
      <c r="P15" s="2">
        <f>IF(P9&lt;&gt;"",Ustede!$F$21,"")</f>
        <v>145.16129032258064</v>
      </c>
      <c r="Q15" s="2">
        <f>IF(Q9&lt;&gt;"",Ustede!$F$21,"")</f>
        <v>145.16129032258064</v>
      </c>
      <c r="R15" s="2">
        <f>IF(R9&lt;&gt;"",Ustede!$F$21,"")</f>
        <v>145.16129032258064</v>
      </c>
      <c r="S15" s="2">
        <f>IF(S9&lt;&gt;"",Ustede!$F$21,"")</f>
        <v>145.16129032258064</v>
      </c>
      <c r="T15" s="2">
        <f>IF(T9&lt;&gt;"",Ustede!$F$21,"")</f>
        <v>145.16129032258064</v>
      </c>
      <c r="U15" s="2">
        <f>IF(U9&lt;&gt;"",Ustede!$F$21,"")</f>
        <v>145.16129032258064</v>
      </c>
      <c r="V15" s="2">
        <f>IF(V9&lt;&gt;"",Ustede!$F$21,"")</f>
        <v>145.16129032258064</v>
      </c>
      <c r="W15" s="2">
        <f>IF(W9&lt;&gt;"",Ustede!$F$21,"")</f>
        <v>145.16129032258064</v>
      </c>
      <c r="X15" s="2">
        <f>IF(X9&lt;&gt;"",Ustede!$F$21,"")</f>
        <v>145.16129032258064</v>
      </c>
      <c r="Y15" s="2">
        <f>IF(Y9&lt;&gt;"",Ustede!$F$21,"")</f>
        <v>145.16129032258064</v>
      </c>
    </row>
    <row r="16" spans="1:25" x14ac:dyDescent="0.25">
      <c r="A16" s="22"/>
      <c r="B16" s="22"/>
      <c r="C16" s="22"/>
      <c r="D16" s="2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67" t="s">
        <v>162</v>
      </c>
      <c r="B17" s="67"/>
      <c r="C17" s="67"/>
      <c r="D17" s="6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x14ac:dyDescent="0.25">
      <c r="A18" s="74" t="s">
        <v>76</v>
      </c>
      <c r="B18" s="74"/>
      <c r="C18" s="74"/>
      <c r="D18" s="74"/>
      <c r="F18" s="2">
        <f>IF(F9&lt;&gt;"",Ustede!$F$22,"")</f>
        <v>372405.48806353594</v>
      </c>
      <c r="G18" s="2">
        <f>IF(G9&lt;&gt;"",Ustede!$F$22,"")</f>
        <v>372405.48806353594</v>
      </c>
      <c r="H18" s="2">
        <f>IF(H9&lt;&gt;"",Ustede!$F$22,"")</f>
        <v>372405.48806353594</v>
      </c>
      <c r="I18" s="2">
        <f>IF(I9&lt;&gt;"",Ustede!$F$22,"")</f>
        <v>372405.48806353594</v>
      </c>
      <c r="J18" s="2">
        <f>IF(J9&lt;&gt;"",Ustede!$F$22,"")</f>
        <v>372405.48806353594</v>
      </c>
      <c r="K18" s="2">
        <f>IF(K9&lt;&gt;"",Ustede!$F$22,"")</f>
        <v>372405.48806353594</v>
      </c>
      <c r="L18" s="2">
        <f>IF(L9&lt;&gt;"",Ustede!$F$22,"")</f>
        <v>372405.48806353594</v>
      </c>
      <c r="M18" s="2">
        <f>IF(M9&lt;&gt;"",Ustede!$F$22,"")</f>
        <v>372405.48806353594</v>
      </c>
      <c r="N18" s="2">
        <f>IF(N9&lt;&gt;"",Ustede!$F$22,"")</f>
        <v>372405.48806353594</v>
      </c>
      <c r="O18" s="2">
        <f>IF(O9&lt;&gt;"",Ustede!$F$22,"")</f>
        <v>372405.48806353594</v>
      </c>
      <c r="P18" s="2">
        <f>IF(P9&lt;&gt;"",Ustede!$F$22,"")</f>
        <v>372405.48806353594</v>
      </c>
      <c r="Q18" s="2">
        <f>IF(Q9&lt;&gt;"",Ustede!$F$22,"")</f>
        <v>372405.48806353594</v>
      </c>
      <c r="R18" s="2">
        <f>IF(R9&lt;&gt;"",Ustede!$F$22,"")</f>
        <v>372405.48806353594</v>
      </c>
      <c r="S18" s="2">
        <f>IF(S9&lt;&gt;"",Ustede!$F$22,"")</f>
        <v>372405.48806353594</v>
      </c>
      <c r="T18" s="2">
        <f>IF(T9&lt;&gt;"",Ustede!$F$22,"")</f>
        <v>372405.48806353594</v>
      </c>
      <c r="U18" s="2">
        <f>IF(U9&lt;&gt;"",Ustede!$F$22,"")</f>
        <v>372405.48806353594</v>
      </c>
      <c r="V18" s="2">
        <f>IF(V9&lt;&gt;"",Ustede!$F$22,"")</f>
        <v>372405.48806353594</v>
      </c>
      <c r="W18" s="2">
        <f>IF(W9&lt;&gt;"",Ustede!$F$22,"")</f>
        <v>372405.48806353594</v>
      </c>
      <c r="X18" s="2">
        <f>IF(X9&lt;&gt;"",Ustede!$F$22,"")</f>
        <v>372405.48806353594</v>
      </c>
      <c r="Y18" s="2">
        <f>IF(Y9&lt;&gt;"",Ustede!$F$22,"")</f>
        <v>372405.48806353594</v>
      </c>
    </row>
    <row r="19" spans="1:25" ht="18" x14ac:dyDescent="0.35">
      <c r="A19" s="74" t="s">
        <v>86</v>
      </c>
      <c r="B19" s="74"/>
      <c r="C19" s="74"/>
      <c r="D19" s="74"/>
      <c r="F19" s="2">
        <f>IF(F9&lt;&gt;"",(F14*Ustede!$F$23+F15*Ustede!$F$24)*CARBON,"")</f>
        <v>22187.476280834915</v>
      </c>
      <c r="G19" s="2">
        <f>IF(G9&lt;&gt;"",(G14*Ustede!$F$23+G15*Ustede!$F$24)*CARBON,"")</f>
        <v>22187.476280834915</v>
      </c>
      <c r="H19" s="2">
        <f>IF(H9&lt;&gt;"",(H14*Ustede!$F$23+H15*Ustede!$F$24)*CARBON,"")</f>
        <v>22187.476280834915</v>
      </c>
      <c r="I19" s="2">
        <f>IF(I9&lt;&gt;"",(I14*Ustede!$F$23+I15*Ustede!$F$24)*CARBON,"")</f>
        <v>22187.476280834915</v>
      </c>
      <c r="J19" s="2">
        <f>IF(J9&lt;&gt;"",(J14*Ustede!$F$23+J15*Ustede!$F$24)*CARBON,"")</f>
        <v>22187.476280834915</v>
      </c>
      <c r="K19" s="2">
        <f>IF(K9&lt;&gt;"",(K14*Ustede!$F$23+K15*Ustede!$F$24)*CARBON,"")</f>
        <v>22187.476280834915</v>
      </c>
      <c r="L19" s="2">
        <f>IF(L9&lt;&gt;"",(L14*Ustede!$F$23+L15*Ustede!$F$24)*CARBON,"")</f>
        <v>22187.476280834915</v>
      </c>
      <c r="M19" s="2">
        <f>IF(M9&lt;&gt;"",(M14*Ustede!$F$23+M15*Ustede!$F$24)*CARBON,"")</f>
        <v>22187.476280834915</v>
      </c>
      <c r="N19" s="2">
        <f>IF(N9&lt;&gt;"",(N14*Ustede!$F$23+N15*Ustede!$F$24)*CARBON,"")</f>
        <v>22187.476280834915</v>
      </c>
      <c r="O19" s="2">
        <f>IF(O9&lt;&gt;"",(O14*Ustede!$F$23+O15*Ustede!$F$24)*CARBON,"")</f>
        <v>22187.476280834915</v>
      </c>
      <c r="P19" s="2">
        <f>IF(P9&lt;&gt;"",(P14*Ustede!$F$23+P15*Ustede!$F$24)*CARBON,"")</f>
        <v>22187.476280834915</v>
      </c>
      <c r="Q19" s="2">
        <f>IF(Q9&lt;&gt;"",(Q14*Ustede!$F$23+Q15*Ustede!$F$24)*CARBON,"")</f>
        <v>22187.476280834915</v>
      </c>
      <c r="R19" s="2">
        <f>IF(R9&lt;&gt;"",(R14*Ustede!$F$23+R15*Ustede!$F$24)*CARBON,"")</f>
        <v>22187.476280834915</v>
      </c>
      <c r="S19" s="2">
        <f>IF(S9&lt;&gt;"",(S14*Ustede!$F$23+S15*Ustede!$F$24)*CARBON,"")</f>
        <v>22187.476280834915</v>
      </c>
      <c r="T19" s="2">
        <f>IF(T9&lt;&gt;"",(T14*Ustede!$F$23+T15*Ustede!$F$24)*CARBON,"")</f>
        <v>22187.476280834915</v>
      </c>
      <c r="U19" s="2">
        <f>IF(U9&lt;&gt;"",(U14*Ustede!$F$23+U15*Ustede!$F$24)*CARBON,"")</f>
        <v>22187.476280834915</v>
      </c>
      <c r="V19" s="2">
        <f>IF(V9&lt;&gt;"",(V14*Ustede!$F$23+V15*Ustede!$F$24)*CARBON,"")</f>
        <v>22187.476280834915</v>
      </c>
      <c r="W19" s="2">
        <f>IF(W9&lt;&gt;"",(W14*Ustede!$F$23+W15*Ustede!$F$24)*CARBON,"")</f>
        <v>22187.476280834915</v>
      </c>
      <c r="X19" s="2">
        <f>IF(X9&lt;&gt;"",(X14*Ustede!$F$23+X15*Ustede!$F$24)*CARBON,"")</f>
        <v>22187.476280834915</v>
      </c>
      <c r="Y19" s="2">
        <f>IF(Y9&lt;&gt;"",(Y14*Ustede!$F$23+Y15*Ustede!$F$24)*CARBON,"")</f>
        <v>22187.476280834915</v>
      </c>
    </row>
    <row r="20" spans="1:25" x14ac:dyDescent="0.25">
      <c r="A20" s="79" t="s">
        <v>87</v>
      </c>
      <c r="B20" s="79"/>
      <c r="C20" s="79"/>
      <c r="D20" s="79"/>
      <c r="E20" s="37"/>
      <c r="F20" s="38">
        <f t="shared" ref="F20:Y20" si="0">IF(F9&lt;&gt;"",F18+F19,"")</f>
        <v>394592.96434437088</v>
      </c>
      <c r="G20" s="38">
        <f t="shared" si="0"/>
        <v>394592.96434437088</v>
      </c>
      <c r="H20" s="38">
        <f t="shared" si="0"/>
        <v>394592.96434437088</v>
      </c>
      <c r="I20" s="38">
        <f t="shared" si="0"/>
        <v>394592.96434437088</v>
      </c>
      <c r="J20" s="38">
        <f t="shared" si="0"/>
        <v>394592.96434437088</v>
      </c>
      <c r="K20" s="38">
        <f t="shared" si="0"/>
        <v>394592.96434437088</v>
      </c>
      <c r="L20" s="38">
        <f t="shared" si="0"/>
        <v>394592.96434437088</v>
      </c>
      <c r="M20" s="38">
        <f t="shared" si="0"/>
        <v>394592.96434437088</v>
      </c>
      <c r="N20" s="38">
        <f t="shared" si="0"/>
        <v>394592.96434437088</v>
      </c>
      <c r="O20" s="38">
        <f t="shared" si="0"/>
        <v>394592.96434437088</v>
      </c>
      <c r="P20" s="38">
        <f t="shared" si="0"/>
        <v>394592.96434437088</v>
      </c>
      <c r="Q20" s="38">
        <f t="shared" si="0"/>
        <v>394592.96434437088</v>
      </c>
      <c r="R20" s="38">
        <f t="shared" si="0"/>
        <v>394592.96434437088</v>
      </c>
      <c r="S20" s="38">
        <f t="shared" si="0"/>
        <v>394592.96434437088</v>
      </c>
      <c r="T20" s="38">
        <f t="shared" si="0"/>
        <v>394592.96434437088</v>
      </c>
      <c r="U20" s="38">
        <f t="shared" si="0"/>
        <v>394592.96434437088</v>
      </c>
      <c r="V20" s="38">
        <f t="shared" si="0"/>
        <v>394592.96434437088</v>
      </c>
      <c r="W20" s="38">
        <f t="shared" si="0"/>
        <v>394592.96434437088</v>
      </c>
      <c r="X20" s="38">
        <f t="shared" si="0"/>
        <v>394592.96434437088</v>
      </c>
      <c r="Y20" s="38">
        <f t="shared" si="0"/>
        <v>394592.96434437088</v>
      </c>
    </row>
    <row r="21" spans="1:25" x14ac:dyDescent="0.25">
      <c r="A21" s="76"/>
      <c r="B21" s="76"/>
      <c r="C21" s="76"/>
      <c r="D21" s="76"/>
    </row>
    <row r="22" spans="1:25" x14ac:dyDescent="0.25">
      <c r="A22" s="67" t="s">
        <v>163</v>
      </c>
      <c r="B22" s="67"/>
      <c r="C22" s="67"/>
      <c r="D22" s="67"/>
    </row>
    <row r="23" spans="1:25" x14ac:dyDescent="0.25">
      <c r="A23" s="74" t="s">
        <v>164</v>
      </c>
      <c r="B23" s="74"/>
      <c r="C23" s="74"/>
      <c r="D23" s="74"/>
      <c r="F23" s="2">
        <f>IF(F9&gt;UnosPodataka!$M$23,"",-VLOOKUP(F9,Anuiteti!$B$13:$E$32,3,FALSE))</f>
        <v>-125760</v>
      </c>
      <c r="G23" s="2">
        <f>IF(G9&gt;UnosPodataka!$M$23,"",-VLOOKUP(G9,Anuiteti!$B$13:$E$32,3,FALSE))</f>
        <v>-118593.671515258</v>
      </c>
      <c r="H23" s="2">
        <f>IF(H9&gt;UnosPodataka!$M$23,"",-VLOOKUP(H9,Anuiteti!$B$13:$E$32,3,FALSE))</f>
        <v>-110567.38361234698</v>
      </c>
      <c r="I23" s="2">
        <f>IF(I9&gt;UnosPodataka!$M$23,"",-VLOOKUP(I9,Anuiteti!$B$13:$E$32,3,FALSE))</f>
        <v>-101577.94116108662</v>
      </c>
      <c r="J23" s="2">
        <f>IF(J9&gt;UnosPodataka!$M$23,"",-VLOOKUP(J9,Anuiteti!$B$13:$E$32,3,FALSE))</f>
        <v>-91509.765615675031</v>
      </c>
      <c r="K23" s="2">
        <f>IF(K9&gt;UnosPodataka!$M$23,"",-VLOOKUP(K9,Anuiteti!$B$13:$E$32,3,FALSE))</f>
        <v>-80233.40900481405</v>
      </c>
      <c r="L23" s="2">
        <f>IF(L9&gt;UnosPodataka!$M$23,"",-VLOOKUP(L9,Anuiteti!$B$13:$E$32,3,FALSE))</f>
        <v>-67603.889600649753</v>
      </c>
      <c r="M23" s="2">
        <f>IF(M9&gt;UnosPodataka!$M$23,"",-VLOOKUP(M9,Anuiteti!$B$13:$E$32,3,FALSE))</f>
        <v>-53458.827867985732</v>
      </c>
      <c r="N23" s="2">
        <f>IF(N9&gt;UnosPodataka!$M$23,"",-VLOOKUP(N9,Anuiteti!$B$13:$E$32,3,FALSE))</f>
        <v>-37616.358727402025</v>
      </c>
      <c r="O23" s="2">
        <f>IF(O9&gt;UnosPodataka!$M$23,"",-VLOOKUP(O9,Anuiteti!$B$13:$E$32,3,FALSE))</f>
        <v>-19872.79328994828</v>
      </c>
      <c r="P23" s="2" t="str">
        <f>IF(P9&gt;UnosPodataka!$M$23,"",-VLOOKUP(P9,Anuiteti!$B$13:$E$32,3,FALSE))</f>
        <v/>
      </c>
      <c r="Q23" s="2" t="str">
        <f>IF(Q9&gt;UnosPodataka!$M$23,"",-VLOOKUP(Q9,Anuiteti!$B$13:$E$32,3,FALSE))</f>
        <v/>
      </c>
      <c r="R23" s="2" t="str">
        <f>IF(R9&gt;UnosPodataka!$M$23,"",-VLOOKUP(R9,Anuiteti!$B$13:$E$32,3,FALSE))</f>
        <v/>
      </c>
      <c r="S23" s="2" t="str">
        <f>IF(S9&gt;UnosPodataka!$M$23,"",-VLOOKUP(S9,Anuiteti!$B$13:$E$32,3,FALSE))</f>
        <v/>
      </c>
      <c r="T23" s="2" t="str">
        <f>IF(T9&gt;UnosPodataka!$M$23,"",-VLOOKUP(T9,Anuiteti!$B$13:$E$32,3,FALSE))</f>
        <v/>
      </c>
      <c r="U23" s="2" t="str">
        <f>IF(U9&gt;UnosPodataka!$M$23,"",-VLOOKUP(U9,Anuiteti!$B$13:$E$32,3,FALSE))</f>
        <v/>
      </c>
      <c r="V23" s="2" t="str">
        <f>IF(V9&gt;UnosPodataka!$M$23,"",-VLOOKUP(V9,Anuiteti!$B$13:$E$32,3,FALSE))</f>
        <v/>
      </c>
      <c r="W23" s="2" t="str">
        <f>IF(W9&gt;UnosPodataka!$M$23,"",-VLOOKUP(W9,Anuiteti!$B$13:$E$32,3,FALSE))</f>
        <v/>
      </c>
      <c r="X23" s="2" t="str">
        <f>IF(X9&gt;UnosPodataka!$M$23,"",-VLOOKUP(X9,Anuiteti!$B$13:$E$32,3,FALSE))</f>
        <v/>
      </c>
      <c r="Y23" s="2" t="str">
        <f>IF(Y9&gt;UnosPodataka!$M$23,"",-VLOOKUP(Y9,Anuiteti!$B$13:$E$32,3,FALSE))</f>
        <v/>
      </c>
    </row>
    <row r="24" spans="1:25" x14ac:dyDescent="0.25">
      <c r="A24" s="22" t="s">
        <v>165</v>
      </c>
      <c r="B24" s="22"/>
      <c r="C24" s="22"/>
      <c r="D24" s="22"/>
      <c r="F24" s="2">
        <f>IF(F23="",0,IF(F9&gt;UnosPodataka!$M$26,"",VLOOKUP(F9,Anuiteti!$B$13:$E$32,4,FALSE)+VLOOKUP(F9,Anuiteti!$B$13:$E$32,3,FALSE)))</f>
        <v>-59719.404039516608</v>
      </c>
      <c r="G24" s="2">
        <f>IF(G23="",0,IF(G9&gt;UnosPodataka!$M$26,"",VLOOKUP(G9,Anuiteti!$B$13:$E$32,4,FALSE)+VLOOKUP(G9,Anuiteti!$B$13:$E$32,3,FALSE)))</f>
        <v>-66885.732524258608</v>
      </c>
      <c r="H24" s="2">
        <f>IF(H23="",0,IF(H9&gt;UnosPodataka!$M$26,"",VLOOKUP(H9,Anuiteti!$B$13:$E$32,4,FALSE)+VLOOKUP(H9,Anuiteti!$B$13:$E$32,3,FALSE)))</f>
        <v>-74912.020427169628</v>
      </c>
      <c r="I24" s="2">
        <f>IF(I23="",0,IF(I9&gt;UnosPodataka!$M$26,"",VLOOKUP(I9,Anuiteti!$B$13:$E$32,4,FALSE)+VLOOKUP(I9,Anuiteti!$B$13:$E$32,3,FALSE)))</f>
        <v>-83901.462878429986</v>
      </c>
      <c r="J24" s="2">
        <f>IF(J23="",0,IF(J9&gt;UnosPodataka!$M$26,"",VLOOKUP(J9,Anuiteti!$B$13:$E$32,4,FALSE)+VLOOKUP(J9,Anuiteti!$B$13:$E$32,3,FALSE)))</f>
        <v>-93969.638423841578</v>
      </c>
      <c r="K24" s="2">
        <f>IF(K23="",0,IF(K9&gt;UnosPodataka!$M$26,"",VLOOKUP(K9,Anuiteti!$B$13:$E$32,4,FALSE)+VLOOKUP(K9,Anuiteti!$B$13:$E$32,3,FALSE)))</f>
        <v>-105245.99503470256</v>
      </c>
      <c r="L24" s="2">
        <f>IF(L23="",0,IF(L9&gt;UnosPodataka!$M$26,"",VLOOKUP(L9,Anuiteti!$B$13:$E$32,4,FALSE)+VLOOKUP(L9,Anuiteti!$B$13:$E$32,3,FALSE)))</f>
        <v>-117875.51443886686</v>
      </c>
      <c r="M24" s="2">
        <f>IF(M23="",0,IF(M9&gt;UnosPodataka!$M$26,"",VLOOKUP(M9,Anuiteti!$B$13:$E$32,4,FALSE)+VLOOKUP(M9,Anuiteti!$B$13:$E$32,3,FALSE)))</f>
        <v>-132020.57617153088</v>
      </c>
      <c r="N24" s="2">
        <f>IF(N23="",0,IF(N9&gt;UnosPodataka!$M$26,"",VLOOKUP(N9,Anuiteti!$B$13:$E$32,4,FALSE)+VLOOKUP(N9,Anuiteti!$B$13:$E$32,3,FALSE)))</f>
        <v>-147863.04531211458</v>
      </c>
      <c r="O24" s="2">
        <f>IF(O23="",0,IF(O9&gt;UnosPodataka!$M$26,"",VLOOKUP(O9,Anuiteti!$B$13:$E$32,4,FALSE)+VLOOKUP(O9,Anuiteti!$B$13:$E$32,3,FALSE)))</f>
        <v>-165606.61074956832</v>
      </c>
      <c r="P24" s="2">
        <f>IF(P23="",0,IF(P9&gt;UnosPodataka!$M$26,"",VLOOKUP(P9,Anuiteti!$B$13:$E$32,4,FALSE)+VLOOKUP(P9,Anuiteti!$B$13:$E$32,3,FALSE)))</f>
        <v>0</v>
      </c>
      <c r="Q24" s="2">
        <f>IF(Q23="",0,IF(Q9&gt;UnosPodataka!$M$26,"",VLOOKUP(Q9,Anuiteti!$B$13:$E$32,4,FALSE)+VLOOKUP(Q9,Anuiteti!$B$13:$E$32,3,FALSE)))</f>
        <v>0</v>
      </c>
      <c r="R24" s="2">
        <f>IF(R23="",0,IF(R9&gt;UnosPodataka!$M$26,"",VLOOKUP(R9,Anuiteti!$B$13:$E$32,4,FALSE)+VLOOKUP(R9,Anuiteti!$B$13:$E$32,3,FALSE)))</f>
        <v>0</v>
      </c>
      <c r="S24" s="2">
        <f>IF(S23="",0,IF(S9&gt;UnosPodataka!$M$26,"",VLOOKUP(S9,Anuiteti!$B$13:$E$32,4,FALSE)+VLOOKUP(S9,Anuiteti!$B$13:$E$32,3,FALSE)))</f>
        <v>0</v>
      </c>
      <c r="T24" s="2">
        <f>IF(T23="",0,IF(T9&gt;UnosPodataka!$M$26,"",VLOOKUP(T9,Anuiteti!$B$13:$E$32,4,FALSE)+VLOOKUP(T9,Anuiteti!$B$13:$E$32,3,FALSE)))</f>
        <v>0</v>
      </c>
      <c r="U24" s="2">
        <f>IF(U23="",0,IF(U9&gt;UnosPodataka!$M$26,"",VLOOKUP(U9,Anuiteti!$B$13:$E$32,4,FALSE)+VLOOKUP(U9,Anuiteti!$B$13:$E$32,3,FALSE)))</f>
        <v>0</v>
      </c>
      <c r="V24" s="2">
        <f>IF(V23="",0,IF(V9&gt;UnosPodataka!$M$26,"",VLOOKUP(V9,Anuiteti!$B$13:$E$32,4,FALSE)+VLOOKUP(V9,Anuiteti!$B$13:$E$32,3,FALSE)))</f>
        <v>0</v>
      </c>
      <c r="W24" s="2">
        <f>IF(W23="",0,IF(W9&gt;UnosPodataka!$M$26,"",VLOOKUP(W9,Anuiteti!$B$13:$E$32,4,FALSE)+VLOOKUP(W9,Anuiteti!$B$13:$E$32,3,FALSE)))</f>
        <v>0</v>
      </c>
      <c r="X24" s="2">
        <f>IF(X23="",0,IF(X9&gt;UnosPodataka!$M$26,"",VLOOKUP(X9,Anuiteti!$B$13:$E$32,4,FALSE)+VLOOKUP(X9,Anuiteti!$B$13:$E$32,3,FALSE)))</f>
        <v>0</v>
      </c>
      <c r="Y24" s="2">
        <f>IF(Y23="",0,IF(Y9&gt;UnosPodataka!$M$26,"",VLOOKUP(Y9,Anuiteti!$B$13:$E$32,4,FALSE)+VLOOKUP(Y9,Anuiteti!$B$13:$E$32,3,FALSE)))</f>
        <v>0</v>
      </c>
    </row>
    <row r="25" spans="1:25" x14ac:dyDescent="0.25">
      <c r="A25" s="74" t="s">
        <v>78</v>
      </c>
      <c r="B25" s="74"/>
      <c r="C25" s="74"/>
      <c r="D25" s="74"/>
      <c r="F25" s="2">
        <f>IF(F9&lt;&gt;"",-UnosPodataka!$M$9,"")</f>
        <v>-100</v>
      </c>
      <c r="G25" s="2">
        <f>IF(G9&lt;&gt;"",-UnosPodataka!$M$9,"")</f>
        <v>-100</v>
      </c>
      <c r="H25" s="2">
        <f>IF(H9&lt;&gt;"",-UnosPodataka!$M$9,"")</f>
        <v>-100</v>
      </c>
      <c r="I25" s="2">
        <f>IF(I9&lt;&gt;"",-UnosPodataka!$M$9,"")</f>
        <v>-100</v>
      </c>
      <c r="J25" s="2">
        <f>IF(J9&lt;&gt;"",-UnosPodataka!$M$9,"")</f>
        <v>-100</v>
      </c>
      <c r="K25" s="2">
        <f>IF(K9&lt;&gt;"",-UnosPodataka!$M$9,"")</f>
        <v>-100</v>
      </c>
      <c r="L25" s="2">
        <f>IF(L9&lt;&gt;"",-UnosPodataka!$M$9,"")</f>
        <v>-100</v>
      </c>
      <c r="M25" s="2">
        <f>IF(M9&lt;&gt;"",-UnosPodataka!$M$9,"")</f>
        <v>-100</v>
      </c>
      <c r="N25" s="2">
        <f>IF(N9&lt;&gt;"",-UnosPodataka!$M$9,"")</f>
        <v>-100</v>
      </c>
      <c r="O25" s="2">
        <f>IF(O9&lt;&gt;"",-UnosPodataka!$M$9,"")</f>
        <v>-100</v>
      </c>
      <c r="P25" s="2">
        <f>IF(P9&lt;&gt;"",-UnosPodataka!$M$9,"")</f>
        <v>-100</v>
      </c>
      <c r="Q25" s="2">
        <f>IF(Q9&lt;&gt;"",-UnosPodataka!$M$9,"")</f>
        <v>-100</v>
      </c>
      <c r="R25" s="2">
        <f>IF(R9&lt;&gt;"",-UnosPodataka!$M$9,"")</f>
        <v>-100</v>
      </c>
      <c r="S25" s="2">
        <f>IF(S9&lt;&gt;"",-UnosPodataka!$M$9,"")</f>
        <v>-100</v>
      </c>
      <c r="T25" s="2">
        <f>IF(T9&lt;&gt;"",-UnosPodataka!$M$9,"")</f>
        <v>-100</v>
      </c>
      <c r="U25" s="2">
        <f>IF(U9&lt;&gt;"",-UnosPodataka!$M$9,"")</f>
        <v>-100</v>
      </c>
      <c r="V25" s="2">
        <f>IF(V9&lt;&gt;"",-UnosPodataka!$M$9,"")</f>
        <v>-100</v>
      </c>
      <c r="W25" s="2">
        <f>IF(W9&lt;&gt;"",-UnosPodataka!$M$9,"")</f>
        <v>-100</v>
      </c>
      <c r="X25" s="2">
        <f>IF(X9&lt;&gt;"",-UnosPodataka!$M$9,"")</f>
        <v>-100</v>
      </c>
      <c r="Y25" s="2">
        <f>IF(Y9&lt;&gt;"",-UnosPodataka!$M$9,"")</f>
        <v>-100</v>
      </c>
    </row>
    <row r="26" spans="1:25" x14ac:dyDescent="0.25">
      <c r="A26" s="74" t="s">
        <v>79</v>
      </c>
      <c r="B26" s="74"/>
      <c r="C26" s="74"/>
      <c r="D26" s="74"/>
      <c r="F26" s="2">
        <f>IF(F9&lt;&gt;"",-Investment*UnosPodataka!$M$11,"")</f>
        <v>-37440</v>
      </c>
      <c r="G26" s="2">
        <f>IF(G9&lt;&gt;"",-Investment*UnosPodataka!$M$11,"")</f>
        <v>-37440</v>
      </c>
      <c r="H26" s="2">
        <f>IF(H9&lt;&gt;"",-Investment*UnosPodataka!$M$11,"")</f>
        <v>-37440</v>
      </c>
      <c r="I26" s="2">
        <f>IF(I9&lt;&gt;"",-Investment*UnosPodataka!$M$11,"")</f>
        <v>-37440</v>
      </c>
      <c r="J26" s="2">
        <f>IF(J9&lt;&gt;"",-Investment*UnosPodataka!$M$11,"")</f>
        <v>-37440</v>
      </c>
      <c r="K26" s="2">
        <f>IF(K9&lt;&gt;"",-Investment*UnosPodataka!$M$11,"")</f>
        <v>-37440</v>
      </c>
      <c r="L26" s="2">
        <f>IF(L9&lt;&gt;"",-Investment*UnosPodataka!$M$11,"")</f>
        <v>-37440</v>
      </c>
      <c r="M26" s="2">
        <f>IF(M9&lt;&gt;"",-Investment*UnosPodataka!$M$11,"")</f>
        <v>-37440</v>
      </c>
      <c r="N26" s="2">
        <f>IF(N9&lt;&gt;"",-Investment*UnosPodataka!$M$11,"")</f>
        <v>-37440</v>
      </c>
      <c r="O26" s="2">
        <f>IF(O9&lt;&gt;"",-Investment*UnosPodataka!$M$11,"")</f>
        <v>-37440</v>
      </c>
      <c r="P26" s="2">
        <f>IF(P9&lt;&gt;"",-Investment*UnosPodataka!$M$11,"")</f>
        <v>-37440</v>
      </c>
      <c r="Q26" s="2">
        <f>IF(Q9&lt;&gt;"",-Investment*UnosPodataka!$M$11,"")</f>
        <v>-37440</v>
      </c>
      <c r="R26" s="2">
        <f>IF(R9&lt;&gt;"",-Investment*UnosPodataka!$M$11,"")</f>
        <v>-37440</v>
      </c>
      <c r="S26" s="2">
        <f>IF(S9&lt;&gt;"",-Investment*UnosPodataka!$M$11,"")</f>
        <v>-37440</v>
      </c>
      <c r="T26" s="2">
        <f>IF(T9&lt;&gt;"",-Investment*UnosPodataka!$M$11,"")</f>
        <v>-37440</v>
      </c>
      <c r="U26" s="2">
        <f>IF(U9&lt;&gt;"",-Investment*UnosPodataka!$M$11,"")</f>
        <v>-37440</v>
      </c>
      <c r="V26" s="2">
        <f>IF(V9&lt;&gt;"",-Investment*UnosPodataka!$M$11,"")</f>
        <v>-37440</v>
      </c>
      <c r="W26" s="2">
        <f>IF(W9&lt;&gt;"",-Investment*UnosPodataka!$M$11,"")</f>
        <v>-37440</v>
      </c>
      <c r="X26" s="2">
        <f>IF(X9&lt;&gt;"",-Investment*UnosPodataka!$M$11,"")</f>
        <v>-37440</v>
      </c>
      <c r="Y26" s="2">
        <f>IF(Y9&lt;&gt;"",-Investment*UnosPodataka!$M$11,"")</f>
        <v>-37440</v>
      </c>
    </row>
    <row r="27" spans="1:25" x14ac:dyDescent="0.25">
      <c r="A27" s="74" t="s">
        <v>88</v>
      </c>
      <c r="B27" s="74"/>
      <c r="C27" s="74"/>
      <c r="D27" s="74"/>
      <c r="F27" s="2">
        <f>IF(F9&lt;&gt;"",-UnosPodataka!$M$14,0)</f>
        <v>-15000</v>
      </c>
      <c r="G27" s="2">
        <f>IF(G9&lt;&gt;"",-UnosPodataka!$M$14,0)</f>
        <v>-15000</v>
      </c>
      <c r="H27" s="2">
        <f>IF(H9&lt;&gt;"",-UnosPodataka!$M$14,0)</f>
        <v>-15000</v>
      </c>
      <c r="I27" s="2">
        <f>IF(I9&lt;&gt;"",-UnosPodataka!$M$14,0)</f>
        <v>-15000</v>
      </c>
      <c r="J27" s="2">
        <f>IF(J9&lt;&gt;"",-UnosPodataka!$M$14,0)</f>
        <v>-15000</v>
      </c>
      <c r="K27" s="2">
        <f>IF(K9&lt;&gt;"",-UnosPodataka!$M$14,0)</f>
        <v>-15000</v>
      </c>
      <c r="L27" s="2">
        <f>IF(L9&lt;&gt;"",-UnosPodataka!$M$14,0)</f>
        <v>-15000</v>
      </c>
      <c r="M27" s="2">
        <f>IF(M9&lt;&gt;"",-UnosPodataka!$M$14,0)</f>
        <v>-15000</v>
      </c>
      <c r="N27" s="2">
        <f>IF(N9&lt;&gt;"",-UnosPodataka!$M$14,0)</f>
        <v>-15000</v>
      </c>
      <c r="O27" s="2">
        <f>IF(O9&lt;&gt;"",-UnosPodataka!$M$14,0)</f>
        <v>-15000</v>
      </c>
      <c r="P27" s="2">
        <f>IF(P9&lt;&gt;"",-UnosPodataka!$M$14,0)</f>
        <v>-15000</v>
      </c>
      <c r="Q27" s="2">
        <f>IF(Q9&lt;&gt;"",-UnosPodataka!$M$14,0)</f>
        <v>-15000</v>
      </c>
      <c r="R27" s="2">
        <f>IF(R9&lt;&gt;"",-UnosPodataka!$M$14,0)</f>
        <v>-15000</v>
      </c>
      <c r="S27" s="2">
        <f>IF(S9&lt;&gt;"",-UnosPodataka!$M$14,0)</f>
        <v>-15000</v>
      </c>
      <c r="T27" s="2">
        <f>IF(T9&lt;&gt;"",-UnosPodataka!$M$14,0)</f>
        <v>-15000</v>
      </c>
      <c r="U27" s="2">
        <f>IF(U9&lt;&gt;"",-UnosPodataka!$M$14,0)</f>
        <v>-15000</v>
      </c>
      <c r="V27" s="2">
        <f>IF(V9&lt;&gt;"",-UnosPodataka!$M$14,0)</f>
        <v>-15000</v>
      </c>
      <c r="W27" s="2">
        <f>IF(W9&lt;&gt;"",-UnosPodataka!$M$14,0)</f>
        <v>-15000</v>
      </c>
      <c r="X27" s="2">
        <f>IF(X9&lt;&gt;"",-UnosPodataka!$M$14,0)</f>
        <v>-15000</v>
      </c>
      <c r="Y27" s="2">
        <f>IF(Y9&lt;&gt;"",-UnosPodataka!$M$14,0)</f>
        <v>-15000</v>
      </c>
    </row>
    <row r="28" spans="1:25" x14ac:dyDescent="0.25">
      <c r="A28" s="74" t="s">
        <v>166</v>
      </c>
      <c r="B28" s="74"/>
      <c r="C28" s="74"/>
      <c r="D28" s="74"/>
      <c r="F28" s="2">
        <f>IF(F9&lt;&gt;"",-Investment*UnosPodataka!$M$12,"")</f>
        <v>-124800</v>
      </c>
      <c r="G28" s="2">
        <f>IF(G9&lt;&gt;"",-Investment*UnosPodataka!$M$12,"")</f>
        <v>-124800</v>
      </c>
      <c r="H28" s="2">
        <f>IF(H9&lt;&gt;"",-Investment*UnosPodataka!$M$12,"")</f>
        <v>-124800</v>
      </c>
      <c r="I28" s="2">
        <f>IF(I9&lt;&gt;"",-Investment*UnosPodataka!$M$12,"")</f>
        <v>-124800</v>
      </c>
      <c r="J28" s="2">
        <f>IF(J9&lt;&gt;"",-Investment*UnosPodataka!$M$12,"")</f>
        <v>-124800</v>
      </c>
      <c r="K28" s="2">
        <f>IF(K9&lt;&gt;"",-Investment*UnosPodataka!$M$12,"")</f>
        <v>-124800</v>
      </c>
      <c r="L28" s="2">
        <f>IF(L9&lt;&gt;"",-Investment*UnosPodataka!$M$12,"")</f>
        <v>-124800</v>
      </c>
      <c r="M28" s="2">
        <f>IF(M9&lt;&gt;"",-Investment*UnosPodataka!$M$12,"")</f>
        <v>-124800</v>
      </c>
      <c r="N28" s="2">
        <f>IF(N9&lt;&gt;"",-Investment*UnosPodataka!$M$12,"")</f>
        <v>-124800</v>
      </c>
      <c r="O28" s="2">
        <f>IF(O9&lt;&gt;"",-Investment*UnosPodataka!$M$12,"")</f>
        <v>-124800</v>
      </c>
      <c r="P28" s="2">
        <f>IF(P9&lt;&gt;"",-Investment*UnosPodataka!$M$12,"")</f>
        <v>-124800</v>
      </c>
      <c r="Q28" s="2">
        <f>IF(Q9&lt;&gt;"",-Investment*UnosPodataka!$M$12,"")</f>
        <v>-124800</v>
      </c>
      <c r="R28" s="2">
        <f>IF(R9&lt;&gt;"",-Investment*UnosPodataka!$M$12,"")</f>
        <v>-124800</v>
      </c>
      <c r="S28" s="2">
        <f>IF(S9&lt;&gt;"",-Investment*UnosPodataka!$M$12,"")</f>
        <v>-124800</v>
      </c>
      <c r="T28" s="2">
        <f>IF(T9&lt;&gt;"",-Investment*UnosPodataka!$M$12,"")</f>
        <v>-124800</v>
      </c>
      <c r="U28" s="2">
        <f>IF(U9&lt;&gt;"",-Investment*UnosPodataka!$M$12,"")</f>
        <v>-124800</v>
      </c>
      <c r="V28" s="2">
        <f>IF(V9&lt;&gt;"",-Investment*UnosPodataka!$M$12,"")</f>
        <v>-124800</v>
      </c>
      <c r="W28" s="2">
        <f>IF(W9&lt;&gt;"",-Investment*UnosPodataka!$M$12,"")</f>
        <v>-124800</v>
      </c>
      <c r="X28" s="2">
        <f>IF(X9&lt;&gt;"",-Investment*UnosPodataka!$M$12,"")</f>
        <v>-124800</v>
      </c>
      <c r="Y28" s="2">
        <f>IF(Y9&lt;&gt;"",-Investment*UnosPodataka!$M$12,"")</f>
        <v>-124800</v>
      </c>
    </row>
    <row r="29" spans="1:25" x14ac:dyDescent="0.25">
      <c r="A29" s="74" t="s">
        <v>142</v>
      </c>
      <c r="B29" s="74"/>
      <c r="C29" s="74"/>
      <c r="D29" s="74"/>
      <c r="F29" s="2">
        <f>IF(F9&lt;&gt;"",-(1-UnosPodataka!$M$10)*'FinInd+CO2'!F18,"")</f>
        <v>0</v>
      </c>
      <c r="G29" s="2">
        <f>IF(G9&lt;&gt;"",-(1-UnosPodataka!$M$10)*'FinInd+CO2'!G18,"")</f>
        <v>0</v>
      </c>
      <c r="H29" s="2">
        <f>IF(H9&lt;&gt;"",-(1-UnosPodataka!$M$10)*'FinInd+CO2'!H18,"")</f>
        <v>0</v>
      </c>
      <c r="I29" s="2">
        <f>IF(I9&lt;&gt;"",-(1-UnosPodataka!$M$10)*'FinInd+CO2'!I18,"")</f>
        <v>0</v>
      </c>
      <c r="J29" s="2">
        <f>IF(J9&lt;&gt;"",-(1-UnosPodataka!$M$10)*'FinInd+CO2'!J18,"")</f>
        <v>0</v>
      </c>
      <c r="K29" s="2">
        <f>IF(K9&lt;&gt;"",-(1-UnosPodataka!$M$10)*'FinInd+CO2'!K18,"")</f>
        <v>0</v>
      </c>
      <c r="L29" s="2">
        <f>IF(L9&lt;&gt;"",-(1-UnosPodataka!$M$10)*'FinInd+CO2'!L18,"")</f>
        <v>0</v>
      </c>
      <c r="M29" s="2">
        <f>IF(M9&lt;&gt;"",-(1-UnosPodataka!$M$10)*'FinInd+CO2'!M18,"")</f>
        <v>0</v>
      </c>
      <c r="N29" s="2">
        <f>IF(N9&lt;&gt;"",-(1-UnosPodataka!$M$10)*'FinInd+CO2'!N18,"")</f>
        <v>0</v>
      </c>
      <c r="O29" s="2">
        <f>IF(O9&lt;&gt;"",-(1-UnosPodataka!$M$10)*'FinInd+CO2'!O18,"")</f>
        <v>0</v>
      </c>
      <c r="P29" s="2">
        <f>IF(P9&lt;&gt;"",-(1-UnosPodataka!$M$10)*'FinInd+CO2'!P18,"")</f>
        <v>0</v>
      </c>
      <c r="Q29" s="2">
        <f>IF(Q9&lt;&gt;"",-(1-UnosPodataka!$M$10)*'FinInd+CO2'!Q18,"")</f>
        <v>0</v>
      </c>
      <c r="R29" s="2">
        <f>IF(R9&lt;&gt;"",-(1-UnosPodataka!$M$10)*'FinInd+CO2'!R18,"")</f>
        <v>0</v>
      </c>
      <c r="S29" s="2">
        <f>IF(S9&lt;&gt;"",-(1-UnosPodataka!$M$10)*'FinInd+CO2'!S18,"")</f>
        <v>0</v>
      </c>
      <c r="T29" s="2">
        <f>IF(T9&lt;&gt;"",-(1-UnosPodataka!$M$10)*'FinInd+CO2'!T18,"")</f>
        <v>0</v>
      </c>
      <c r="U29" s="2">
        <f>IF(U9&lt;&gt;"",-(1-UnosPodataka!$M$10)*'FinInd+CO2'!U18,"")</f>
        <v>0</v>
      </c>
      <c r="V29" s="2">
        <f>IF(V9&lt;&gt;"",-(1-UnosPodataka!$M$10)*'FinInd+CO2'!V18,"")</f>
        <v>0</v>
      </c>
      <c r="W29" s="2">
        <f>IF(W9&lt;&gt;"",-(1-UnosPodataka!$M$10)*'FinInd+CO2'!W18,"")</f>
        <v>0</v>
      </c>
      <c r="X29" s="2">
        <f>IF(X9&lt;&gt;"",-(1-UnosPodataka!$M$10)*'FinInd+CO2'!X18,"")</f>
        <v>0</v>
      </c>
      <c r="Y29" s="2">
        <f>IF(Y9&lt;&gt;"",-(1-UnosPodataka!$M$10)*'FinInd+CO2'!Y18,"")</f>
        <v>0</v>
      </c>
    </row>
    <row r="30" spans="1:25" x14ac:dyDescent="0.25">
      <c r="A30" s="79" t="s">
        <v>89</v>
      </c>
      <c r="B30" s="79"/>
      <c r="C30" s="79"/>
      <c r="D30" s="79"/>
      <c r="E30" s="37"/>
      <c r="F30" s="38">
        <f>IF(F9&lt;&gt;"",SUM(F23:F29),"")</f>
        <v>-362819.40403951658</v>
      </c>
      <c r="G30" s="38">
        <f t="shared" ref="G30:Y30" si="1">IF(G9&lt;&gt;"",SUM(G23:G29),"")</f>
        <v>-362819.40403951658</v>
      </c>
      <c r="H30" s="38">
        <f t="shared" si="1"/>
        <v>-362819.40403951658</v>
      </c>
      <c r="I30" s="38">
        <f t="shared" si="1"/>
        <v>-362819.40403951658</v>
      </c>
      <c r="J30" s="38">
        <f t="shared" si="1"/>
        <v>-362819.40403951658</v>
      </c>
      <c r="K30" s="38">
        <f t="shared" si="1"/>
        <v>-362819.40403951658</v>
      </c>
      <c r="L30" s="38">
        <f t="shared" si="1"/>
        <v>-362819.40403951658</v>
      </c>
      <c r="M30" s="38">
        <f t="shared" si="1"/>
        <v>-362819.40403951658</v>
      </c>
      <c r="N30" s="38">
        <f t="shared" si="1"/>
        <v>-362819.40403951658</v>
      </c>
      <c r="O30" s="38">
        <f t="shared" si="1"/>
        <v>-362819.40403951658</v>
      </c>
      <c r="P30" s="38">
        <f t="shared" si="1"/>
        <v>-177340</v>
      </c>
      <c r="Q30" s="38">
        <f t="shared" si="1"/>
        <v>-177340</v>
      </c>
      <c r="R30" s="38">
        <f t="shared" si="1"/>
        <v>-177340</v>
      </c>
      <c r="S30" s="38">
        <f t="shared" si="1"/>
        <v>-177340</v>
      </c>
      <c r="T30" s="38">
        <f t="shared" si="1"/>
        <v>-177340</v>
      </c>
      <c r="U30" s="38">
        <f t="shared" si="1"/>
        <v>-177340</v>
      </c>
      <c r="V30" s="38">
        <f t="shared" si="1"/>
        <v>-177340</v>
      </c>
      <c r="W30" s="38">
        <f t="shared" si="1"/>
        <v>-177340</v>
      </c>
      <c r="X30" s="38">
        <f t="shared" si="1"/>
        <v>-177340</v>
      </c>
      <c r="Y30" s="38">
        <f t="shared" si="1"/>
        <v>-177340</v>
      </c>
    </row>
    <row r="32" spans="1:25" x14ac:dyDescent="0.25">
      <c r="A32" t="s">
        <v>167</v>
      </c>
      <c r="E32" s="2">
        <f>-SUM(E11:E13)</f>
        <v>-1248000</v>
      </c>
      <c r="F32" s="2">
        <f>+F30-F28-F35</f>
        <v>-251743.34869117223</v>
      </c>
      <c r="G32" s="2">
        <f t="shared" ref="G32:Y32" si="2">+G30-G28-G35</f>
        <v>-252818.29796388352</v>
      </c>
      <c r="H32" s="2">
        <f t="shared" si="2"/>
        <v>-254022.24114932018</v>
      </c>
      <c r="I32" s="2">
        <f t="shared" si="2"/>
        <v>-255370.65751700921</v>
      </c>
      <c r="J32" s="2">
        <f t="shared" si="2"/>
        <v>-256880.88384882096</v>
      </c>
      <c r="K32" s="2">
        <f t="shared" si="2"/>
        <v>-258572.33734045012</v>
      </c>
      <c r="L32" s="2">
        <f t="shared" si="2"/>
        <v>-260466.76525107474</v>
      </c>
      <c r="M32" s="2">
        <f t="shared" si="2"/>
        <v>-262588.52451097436</v>
      </c>
      <c r="N32" s="2">
        <f t="shared" si="2"/>
        <v>-264964.89488206193</v>
      </c>
      <c r="O32" s="2">
        <f t="shared" si="2"/>
        <v>-267626.42969768</v>
      </c>
      <c r="P32" s="2">
        <f t="shared" si="2"/>
        <v>-85127.944651655635</v>
      </c>
      <c r="Q32" s="2">
        <f t="shared" si="2"/>
        <v>-85127.944651655635</v>
      </c>
      <c r="R32" s="2">
        <f t="shared" si="2"/>
        <v>-85127.944651655635</v>
      </c>
      <c r="S32" s="2">
        <f t="shared" si="2"/>
        <v>-85127.944651655635</v>
      </c>
      <c r="T32" s="2">
        <f t="shared" si="2"/>
        <v>-85127.944651655635</v>
      </c>
      <c r="U32" s="2">
        <f t="shared" si="2"/>
        <v>-85127.944651655635</v>
      </c>
      <c r="V32" s="2">
        <f t="shared" si="2"/>
        <v>-85127.944651655635</v>
      </c>
      <c r="W32" s="2">
        <f t="shared" si="2"/>
        <v>-85127.944651655635</v>
      </c>
      <c r="X32" s="2">
        <f t="shared" si="2"/>
        <v>-85127.944651655635</v>
      </c>
      <c r="Y32" s="2">
        <f t="shared" si="2"/>
        <v>-85127.944651655635</v>
      </c>
    </row>
    <row r="33" spans="1:25" x14ac:dyDescent="0.25">
      <c r="A33" s="67" t="s">
        <v>168</v>
      </c>
      <c r="B33" s="67"/>
      <c r="C33" s="67"/>
      <c r="D33" s="67"/>
      <c r="E33" s="37"/>
      <c r="F33" s="38">
        <f>IF(F9&lt;&gt;"",F20+F30-F24,"")</f>
        <v>91492.964344370906</v>
      </c>
      <c r="G33" s="38">
        <f t="shared" ref="G33:Y33" si="3">IF(G9&lt;&gt;"",G20+G30-G24,"")</f>
        <v>98659.292829112906</v>
      </c>
      <c r="H33" s="38">
        <f t="shared" si="3"/>
        <v>106685.58073202393</v>
      </c>
      <c r="I33" s="38">
        <f t="shared" si="3"/>
        <v>115675.02318328428</v>
      </c>
      <c r="J33" s="38">
        <f t="shared" si="3"/>
        <v>125743.19872869588</v>
      </c>
      <c r="K33" s="38">
        <f t="shared" si="3"/>
        <v>137019.55533955686</v>
      </c>
      <c r="L33" s="38">
        <f t="shared" si="3"/>
        <v>149649.07474372117</v>
      </c>
      <c r="M33" s="38">
        <f t="shared" si="3"/>
        <v>163794.13647638517</v>
      </c>
      <c r="N33" s="38">
        <f t="shared" si="3"/>
        <v>179636.60561696888</v>
      </c>
      <c r="O33" s="38">
        <f t="shared" si="3"/>
        <v>197380.17105442262</v>
      </c>
      <c r="P33" s="38">
        <f t="shared" si="3"/>
        <v>217252.96434437088</v>
      </c>
      <c r="Q33" s="38">
        <f t="shared" si="3"/>
        <v>217252.96434437088</v>
      </c>
      <c r="R33" s="38">
        <f t="shared" si="3"/>
        <v>217252.96434437088</v>
      </c>
      <c r="S33" s="38">
        <f t="shared" si="3"/>
        <v>217252.96434437088</v>
      </c>
      <c r="T33" s="38">
        <f t="shared" si="3"/>
        <v>217252.96434437088</v>
      </c>
      <c r="U33" s="38">
        <f t="shared" si="3"/>
        <v>217252.96434437088</v>
      </c>
      <c r="V33" s="38">
        <f t="shared" si="3"/>
        <v>217252.96434437088</v>
      </c>
      <c r="W33" s="38">
        <f t="shared" si="3"/>
        <v>217252.96434437088</v>
      </c>
      <c r="X33" s="38">
        <f t="shared" si="3"/>
        <v>217252.96434437088</v>
      </c>
      <c r="Y33" s="38">
        <f t="shared" si="3"/>
        <v>217252.96434437088</v>
      </c>
    </row>
    <row r="34" spans="1:25" x14ac:dyDescent="0.25">
      <c r="A34" s="76"/>
      <c r="B34" s="76"/>
      <c r="C34" s="76"/>
      <c r="D34" s="76"/>
    </row>
    <row r="35" spans="1:25" x14ac:dyDescent="0.25">
      <c r="A35" s="74" t="s">
        <v>81</v>
      </c>
      <c r="B35" s="74"/>
      <c r="C35" s="74"/>
      <c r="D35" s="74"/>
      <c r="F35" s="2">
        <f>IF(F9&lt;&gt;"",IF(F33&gt;0,F33*VAT,0),"")</f>
        <v>13723.944651655636</v>
      </c>
      <c r="G35" s="2">
        <f t="shared" ref="G35:Y35" si="4">IF(G9&lt;&gt;"",IF(G33&gt;0,G33*VAT,0),"")</f>
        <v>14798.893924366936</v>
      </c>
      <c r="H35" s="2">
        <f t="shared" si="4"/>
        <v>16002.837109803588</v>
      </c>
      <c r="I35" s="2">
        <f t="shared" si="4"/>
        <v>17351.253477492643</v>
      </c>
      <c r="J35" s="2">
        <f t="shared" si="4"/>
        <v>18861.479809304379</v>
      </c>
      <c r="K35" s="2">
        <f t="shared" si="4"/>
        <v>20552.933300933528</v>
      </c>
      <c r="L35" s="2">
        <f t="shared" si="4"/>
        <v>22447.361211558175</v>
      </c>
      <c r="M35" s="2">
        <f t="shared" si="4"/>
        <v>24569.120471457776</v>
      </c>
      <c r="N35" s="2">
        <f t="shared" si="4"/>
        <v>26945.490842545332</v>
      </c>
      <c r="O35" s="2">
        <f t="shared" si="4"/>
        <v>29607.025658163391</v>
      </c>
      <c r="P35" s="2">
        <f t="shared" si="4"/>
        <v>32587.944651655631</v>
      </c>
      <c r="Q35" s="2">
        <f t="shared" si="4"/>
        <v>32587.944651655631</v>
      </c>
      <c r="R35" s="2">
        <f t="shared" si="4"/>
        <v>32587.944651655631</v>
      </c>
      <c r="S35" s="2">
        <f t="shared" si="4"/>
        <v>32587.944651655631</v>
      </c>
      <c r="T35" s="2">
        <f t="shared" si="4"/>
        <v>32587.944651655631</v>
      </c>
      <c r="U35" s="2">
        <f t="shared" si="4"/>
        <v>32587.944651655631</v>
      </c>
      <c r="V35" s="2">
        <f t="shared" si="4"/>
        <v>32587.944651655631</v>
      </c>
      <c r="W35" s="2">
        <f t="shared" si="4"/>
        <v>32587.944651655631</v>
      </c>
      <c r="X35" s="2">
        <f t="shared" si="4"/>
        <v>32587.944651655631</v>
      </c>
      <c r="Y35" s="2">
        <f t="shared" si="4"/>
        <v>32587.944651655631</v>
      </c>
    </row>
    <row r="36" spans="1:25" x14ac:dyDescent="0.25">
      <c r="A36" s="67" t="s">
        <v>82</v>
      </c>
      <c r="B36" s="67"/>
      <c r="C36" s="67"/>
      <c r="D36" s="67"/>
      <c r="E36" s="38"/>
      <c r="F36" s="38">
        <f>IF(F9&lt;&gt;"",F33-F35,"")</f>
        <v>77769.019692715272</v>
      </c>
      <c r="G36" s="38">
        <f t="shared" ref="G36:Y36" si="5">IF(G9&lt;&gt;"",G33-G35,"")</f>
        <v>83860.398904745976</v>
      </c>
      <c r="H36" s="38">
        <f t="shared" si="5"/>
        <v>90682.74362222034</v>
      </c>
      <c r="I36" s="38">
        <f t="shared" si="5"/>
        <v>98323.769705791638</v>
      </c>
      <c r="J36" s="38">
        <f t="shared" si="5"/>
        <v>106881.7189193915</v>
      </c>
      <c r="K36" s="38">
        <f t="shared" si="5"/>
        <v>116466.62203862333</v>
      </c>
      <c r="L36" s="38">
        <f t="shared" si="5"/>
        <v>127201.71353216299</v>
      </c>
      <c r="M36" s="38">
        <f t="shared" si="5"/>
        <v>139225.0160049274</v>
      </c>
      <c r="N36" s="38">
        <f t="shared" si="5"/>
        <v>152691.11477442353</v>
      </c>
      <c r="O36" s="38">
        <f t="shared" si="5"/>
        <v>167773.14539625923</v>
      </c>
      <c r="P36" s="38">
        <f t="shared" si="5"/>
        <v>184665.01969271526</v>
      </c>
      <c r="Q36" s="38">
        <f t="shared" si="5"/>
        <v>184665.01969271526</v>
      </c>
      <c r="R36" s="38">
        <f t="shared" si="5"/>
        <v>184665.01969271526</v>
      </c>
      <c r="S36" s="38">
        <f t="shared" si="5"/>
        <v>184665.01969271526</v>
      </c>
      <c r="T36" s="38">
        <f t="shared" si="5"/>
        <v>184665.01969271526</v>
      </c>
      <c r="U36" s="38">
        <f t="shared" si="5"/>
        <v>184665.01969271526</v>
      </c>
      <c r="V36" s="38">
        <f t="shared" si="5"/>
        <v>184665.01969271526</v>
      </c>
      <c r="W36" s="38">
        <f t="shared" si="5"/>
        <v>184665.01969271526</v>
      </c>
      <c r="X36" s="38">
        <f t="shared" si="5"/>
        <v>184665.01969271526</v>
      </c>
      <c r="Y36" s="38">
        <f t="shared" si="5"/>
        <v>184665.01969271526</v>
      </c>
    </row>
    <row r="38" spans="1:25" x14ac:dyDescent="0.25">
      <c r="A38" s="39" t="s">
        <v>169</v>
      </c>
      <c r="E38" s="2">
        <f>+E20+E32</f>
        <v>-1248000</v>
      </c>
      <c r="F38" s="2">
        <f>+F20+F32-F35</f>
        <v>129125.67100154301</v>
      </c>
      <c r="G38" s="2">
        <f t="shared" ref="G38:Y38" si="6">+G20+G32-G35</f>
        <v>126975.77245612042</v>
      </c>
      <c r="H38" s="2">
        <f t="shared" si="6"/>
        <v>124567.88608524711</v>
      </c>
      <c r="I38" s="2">
        <f t="shared" si="6"/>
        <v>121871.05334986902</v>
      </c>
      <c r="J38" s="2">
        <f t="shared" si="6"/>
        <v>118850.60068624554</v>
      </c>
      <c r="K38" s="2">
        <f t="shared" si="6"/>
        <v>115467.69370298724</v>
      </c>
      <c r="L38" s="2">
        <f t="shared" si="6"/>
        <v>111678.83788173796</v>
      </c>
      <c r="M38" s="2">
        <f t="shared" si="6"/>
        <v>107435.31936193875</v>
      </c>
      <c r="N38" s="2">
        <f t="shared" si="6"/>
        <v>102682.57861976362</v>
      </c>
      <c r="O38" s="2">
        <f t="shared" si="6"/>
        <v>97359.508988527494</v>
      </c>
      <c r="P38" s="2">
        <f t="shared" si="6"/>
        <v>276877.07504105964</v>
      </c>
      <c r="Q38" s="2">
        <f t="shared" si="6"/>
        <v>276877.07504105964</v>
      </c>
      <c r="R38" s="2">
        <f t="shared" si="6"/>
        <v>276877.07504105964</v>
      </c>
      <c r="S38" s="2">
        <f t="shared" si="6"/>
        <v>276877.07504105964</v>
      </c>
      <c r="T38" s="2">
        <f t="shared" si="6"/>
        <v>276877.07504105964</v>
      </c>
      <c r="U38" s="2">
        <f t="shared" si="6"/>
        <v>276877.07504105964</v>
      </c>
      <c r="V38" s="2">
        <f t="shared" si="6"/>
        <v>276877.07504105964</v>
      </c>
      <c r="W38" s="2">
        <f t="shared" si="6"/>
        <v>276877.07504105964</v>
      </c>
      <c r="X38" s="2">
        <f t="shared" si="6"/>
        <v>276877.07504105964</v>
      </c>
      <c r="Y38" s="2">
        <f t="shared" si="6"/>
        <v>276877.07504105964</v>
      </c>
    </row>
    <row r="39" spans="1:25" x14ac:dyDescent="0.25">
      <c r="A39" s="39" t="s">
        <v>170</v>
      </c>
      <c r="E39" s="2">
        <f>+E38</f>
        <v>-1248000</v>
      </c>
      <c r="F39" s="2">
        <f>+E39+F38</f>
        <v>-1118874.3289984569</v>
      </c>
      <c r="G39" s="2">
        <f t="shared" ref="G39:Y39" si="7">+F39+G38</f>
        <v>-991898.55654233648</v>
      </c>
      <c r="H39" s="2">
        <f t="shared" si="7"/>
        <v>-867330.67045708932</v>
      </c>
      <c r="I39" s="2">
        <f t="shared" si="7"/>
        <v>-745459.61710722034</v>
      </c>
      <c r="J39" s="2">
        <f t="shared" si="7"/>
        <v>-626609.01642097486</v>
      </c>
      <c r="K39" s="2">
        <f t="shared" si="7"/>
        <v>-511141.32271798764</v>
      </c>
      <c r="L39" s="2">
        <f t="shared" si="7"/>
        <v>-399462.48483624967</v>
      </c>
      <c r="M39" s="2">
        <f t="shared" si="7"/>
        <v>-292027.16547431092</v>
      </c>
      <c r="N39" s="2">
        <f t="shared" si="7"/>
        <v>-189344.58685454732</v>
      </c>
      <c r="O39" s="2">
        <f t="shared" si="7"/>
        <v>-91985.077866019827</v>
      </c>
      <c r="P39" s="2">
        <f t="shared" si="7"/>
        <v>184891.99717503981</v>
      </c>
      <c r="Q39" s="2">
        <f t="shared" si="7"/>
        <v>461769.07221609948</v>
      </c>
      <c r="R39" s="2">
        <f t="shared" si="7"/>
        <v>738646.14725715911</v>
      </c>
      <c r="S39" s="2">
        <f t="shared" si="7"/>
        <v>1015523.2222982188</v>
      </c>
      <c r="T39" s="2">
        <f t="shared" si="7"/>
        <v>1292400.2973392783</v>
      </c>
      <c r="U39" s="2">
        <f t="shared" si="7"/>
        <v>1569277.3723803379</v>
      </c>
      <c r="V39" s="2">
        <f t="shared" si="7"/>
        <v>1846154.4474213975</v>
      </c>
      <c r="W39" s="2">
        <f t="shared" si="7"/>
        <v>2123031.5224624574</v>
      </c>
      <c r="X39" s="2">
        <f t="shared" si="7"/>
        <v>2399908.5975035168</v>
      </c>
      <c r="Y39" s="2">
        <f t="shared" si="7"/>
        <v>2676785.6725445762</v>
      </c>
    </row>
    <row r="40" spans="1:25" x14ac:dyDescent="0.25">
      <c r="A40" s="15"/>
    </row>
    <row r="41" spans="1:25" x14ac:dyDescent="0.25">
      <c r="A41" s="39" t="s">
        <v>58</v>
      </c>
      <c r="E41" s="6">
        <f>+PomTab1!K25</f>
        <v>0.11011217948717948</v>
      </c>
    </row>
    <row r="42" spans="1:25" x14ac:dyDescent="0.25">
      <c r="A42" s="39" t="s">
        <v>171</v>
      </c>
      <c r="E42" s="2">
        <f>IF(E9&lt;&gt;"",E38*(1+$E$41)^-E9,"")</f>
        <v>-1248000</v>
      </c>
      <c r="F42" s="2">
        <f>IF(F9&lt;&gt;"",F38*(1+$E$41)^-F9,"")</f>
        <v>116317.67796763846</v>
      </c>
      <c r="G42" s="2">
        <f t="shared" ref="G42:Y42" si="8">IF(G9&lt;&gt;"",G38*(1+$E$41)^-G9,"")</f>
        <v>103035.55826846973</v>
      </c>
      <c r="H42" s="2">
        <f t="shared" si="8"/>
        <v>91055.35502923507</v>
      </c>
      <c r="I42" s="2">
        <f t="shared" si="8"/>
        <v>80247.792572580613</v>
      </c>
      <c r="J42" s="2">
        <f t="shared" si="8"/>
        <v>70496.416860557714</v>
      </c>
      <c r="K42" s="2">
        <f t="shared" si="8"/>
        <v>61696.323703469738</v>
      </c>
      <c r="L42" s="2">
        <f t="shared" si="8"/>
        <v>53753.013117759983</v>
      </c>
      <c r="M42" s="2">
        <f t="shared" si="8"/>
        <v>46581.35732019943</v>
      </c>
      <c r="N42" s="2">
        <f t="shared" si="8"/>
        <v>40104.671086773182</v>
      </c>
      <c r="O42" s="2">
        <f t="shared" si="8"/>
        <v>34253.874322695978</v>
      </c>
      <c r="P42" s="2">
        <f t="shared" si="8"/>
        <v>87750.875040625819</v>
      </c>
      <c r="Q42" s="2">
        <f t="shared" si="8"/>
        <v>79046.853698301595</v>
      </c>
      <c r="R42" s="2">
        <f t="shared" si="8"/>
        <v>71206.185427870529</v>
      </c>
      <c r="S42" s="2">
        <f t="shared" si="8"/>
        <v>64143.234119604465</v>
      </c>
      <c r="T42" s="2">
        <f t="shared" si="8"/>
        <v>57780.857921255913</v>
      </c>
      <c r="U42" s="2">
        <f t="shared" si="8"/>
        <v>52049.566691492371</v>
      </c>
      <c r="V42" s="2">
        <f t="shared" si="8"/>
        <v>46886.763025640226</v>
      </c>
      <c r="W42" s="2">
        <f t="shared" si="8"/>
        <v>42236.058564189196</v>
      </c>
      <c r="X42" s="2">
        <f t="shared" si="8"/>
        <v>38046.658116750237</v>
      </c>
      <c r="Y42" s="2">
        <f t="shared" si="8"/>
        <v>34272.804874842499</v>
      </c>
    </row>
    <row r="43" spans="1:25" x14ac:dyDescent="0.25">
      <c r="A43" s="39" t="s">
        <v>172</v>
      </c>
      <c r="E43" s="2">
        <f>+E42</f>
        <v>-1248000</v>
      </c>
      <c r="F43" s="2">
        <f>+E43+F42</f>
        <v>-1131682.3220323615</v>
      </c>
      <c r="G43" s="2">
        <f t="shared" ref="G43:Y43" si="9">+F43+G42</f>
        <v>-1028646.7637638918</v>
      </c>
      <c r="H43" s="2">
        <f t="shared" si="9"/>
        <v>-937591.40873465664</v>
      </c>
      <c r="I43" s="2">
        <f t="shared" si="9"/>
        <v>-857343.61616207601</v>
      </c>
      <c r="J43" s="2">
        <f t="shared" si="9"/>
        <v>-786847.19930151827</v>
      </c>
      <c r="K43" s="2">
        <f t="shared" si="9"/>
        <v>-725150.87559804856</v>
      </c>
      <c r="L43" s="2">
        <f t="shared" si="9"/>
        <v>-671397.8624802886</v>
      </c>
      <c r="M43" s="2">
        <f t="shared" si="9"/>
        <v>-624816.50516008912</v>
      </c>
      <c r="N43" s="2">
        <f t="shared" si="9"/>
        <v>-584711.83407331596</v>
      </c>
      <c r="O43" s="2">
        <f t="shared" si="9"/>
        <v>-550457.95975061995</v>
      </c>
      <c r="P43" s="2">
        <f t="shared" si="9"/>
        <v>-462707.08470999415</v>
      </c>
      <c r="Q43" s="2">
        <f t="shared" si="9"/>
        <v>-383660.23101169255</v>
      </c>
      <c r="R43" s="2">
        <f t="shared" si="9"/>
        <v>-312454.04558382201</v>
      </c>
      <c r="S43" s="2">
        <f t="shared" si="9"/>
        <v>-248310.81146421755</v>
      </c>
      <c r="T43" s="2">
        <f t="shared" si="9"/>
        <v>-190529.95354296162</v>
      </c>
      <c r="U43" s="2">
        <f t="shared" si="9"/>
        <v>-138480.38685146926</v>
      </c>
      <c r="V43" s="2">
        <f t="shared" si="9"/>
        <v>-91593.62382582904</v>
      </c>
      <c r="W43" s="2">
        <f t="shared" si="9"/>
        <v>-49357.565261639844</v>
      </c>
      <c r="X43" s="2">
        <f t="shared" si="9"/>
        <v>-11310.907144889607</v>
      </c>
      <c r="Y43" s="2">
        <f t="shared" si="9"/>
        <v>22961.897729952892</v>
      </c>
    </row>
    <row r="44" spans="1:25" x14ac:dyDescent="0.25">
      <c r="A44" s="39"/>
    </row>
    <row r="45" spans="1:25" x14ac:dyDescent="0.25">
      <c r="A45" s="40" t="s">
        <v>173</v>
      </c>
      <c r="B45" s="43"/>
      <c r="C45" s="43"/>
      <c r="D45" s="43"/>
      <c r="E45" s="44">
        <f>+NPV(E41,E38:Y38)</f>
        <v>20684.303941751492</v>
      </c>
      <c r="F45" s="43"/>
    </row>
    <row r="46" spans="1:25" x14ac:dyDescent="0.25">
      <c r="A46" s="40" t="s">
        <v>174</v>
      </c>
      <c r="B46" s="43"/>
      <c r="C46" s="43"/>
      <c r="D46" s="43"/>
      <c r="E46" s="45">
        <f>+IRR(E38:Y38,10)</f>
        <v>0.11236078814566097</v>
      </c>
      <c r="F46" s="43"/>
    </row>
    <row r="47" spans="1:25" x14ac:dyDescent="0.25">
      <c r="A47" s="40" t="s">
        <v>175</v>
      </c>
      <c r="B47" s="43"/>
      <c r="C47" s="43"/>
      <c r="D47" s="43"/>
      <c r="E47" s="48">
        <f>+NPV(E41,E20:Y20)/-NPV(E41,E32:Y32)</f>
        <v>1.1866453544563298</v>
      </c>
      <c r="F47" s="43"/>
    </row>
    <row r="48" spans="1:25" x14ac:dyDescent="0.25">
      <c r="A48" s="40" t="s">
        <v>176</v>
      </c>
      <c r="B48" s="43"/>
      <c r="C48" s="43"/>
      <c r="D48" s="43"/>
      <c r="E48" s="43" cm="1">
        <f t="array" ref="E48">+LOOKUP(INDEX(E39:Y39,MATCH(TRUE,E39:Y39&gt;0,0)),E39:Y39,E9:Y9)</f>
        <v>11</v>
      </c>
      <c r="F48" s="43" t="s">
        <v>178</v>
      </c>
    </row>
    <row r="49" spans="1:26" x14ac:dyDescent="0.25">
      <c r="A49" s="40" t="s">
        <v>177</v>
      </c>
      <c r="B49" s="43"/>
      <c r="C49" s="43"/>
      <c r="D49" s="43"/>
      <c r="E49" s="43" cm="1">
        <f t="array" ref="E49">+LOOKUP(INDEX(E43:Y43,MATCH(TRUE,E43:Y43&gt;0,0)),E43:Y43,E9:Y9)</f>
        <v>20</v>
      </c>
      <c r="F49" s="43" t="s">
        <v>178</v>
      </c>
    </row>
    <row r="51" spans="1:26" x14ac:dyDescent="0.25">
      <c r="A51" s="74" t="s">
        <v>179</v>
      </c>
      <c r="B51" s="74"/>
      <c r="C51" s="74"/>
      <c r="D51" s="74"/>
      <c r="E51" s="2">
        <f>IF(E9&lt;&gt;"",E32,"")</f>
        <v>-1248000</v>
      </c>
      <c r="F51" s="2">
        <f>IF(F9&lt;&gt;"",F32,"")</f>
        <v>-251743.34869117223</v>
      </c>
      <c r="G51" s="2">
        <f t="shared" ref="G51:Y51" si="10">IF(G9&lt;&gt;"",G32,"")</f>
        <v>-252818.29796388352</v>
      </c>
      <c r="H51" s="2">
        <f t="shared" si="10"/>
        <v>-254022.24114932018</v>
      </c>
      <c r="I51" s="2">
        <f t="shared" si="10"/>
        <v>-255370.65751700921</v>
      </c>
      <c r="J51" s="2">
        <f t="shared" si="10"/>
        <v>-256880.88384882096</v>
      </c>
      <c r="K51" s="2">
        <f t="shared" si="10"/>
        <v>-258572.33734045012</v>
      </c>
      <c r="L51" s="2">
        <f t="shared" si="10"/>
        <v>-260466.76525107474</v>
      </c>
      <c r="M51" s="2">
        <f t="shared" si="10"/>
        <v>-262588.52451097436</v>
      </c>
      <c r="N51" s="2">
        <f t="shared" si="10"/>
        <v>-264964.89488206193</v>
      </c>
      <c r="O51" s="2">
        <f t="shared" si="10"/>
        <v>-267626.42969768</v>
      </c>
      <c r="P51" s="2">
        <f t="shared" si="10"/>
        <v>-85127.944651655635</v>
      </c>
      <c r="Q51" s="2">
        <f t="shared" si="10"/>
        <v>-85127.944651655635</v>
      </c>
      <c r="R51" s="2">
        <f t="shared" si="10"/>
        <v>-85127.944651655635</v>
      </c>
      <c r="S51" s="2">
        <f t="shared" si="10"/>
        <v>-85127.944651655635</v>
      </c>
      <c r="T51" s="2">
        <f t="shared" si="10"/>
        <v>-85127.944651655635</v>
      </c>
      <c r="U51" s="2">
        <f t="shared" si="10"/>
        <v>-85127.944651655635</v>
      </c>
      <c r="V51" s="2">
        <f t="shared" si="10"/>
        <v>-85127.944651655635</v>
      </c>
      <c r="W51" s="2">
        <f t="shared" si="10"/>
        <v>-85127.944651655635</v>
      </c>
      <c r="X51" s="2">
        <f t="shared" si="10"/>
        <v>-85127.944651655635</v>
      </c>
      <c r="Y51" s="2">
        <f t="shared" si="10"/>
        <v>-85127.944651655635</v>
      </c>
      <c r="Z51" s="2"/>
    </row>
    <row r="52" spans="1:26" x14ac:dyDescent="0.25">
      <c r="A52" s="74" t="s">
        <v>180</v>
      </c>
      <c r="B52" s="74"/>
      <c r="C52" s="74"/>
      <c r="D52" s="74"/>
      <c r="E52" s="2">
        <f>IF(E9&lt;&gt;"",E51*(1+D41)^-E9,"")</f>
        <v>-1248000</v>
      </c>
      <c r="F52" s="2">
        <f>IF(F9&lt;&gt;"",F51*(1+E41)^-F9,"")</f>
        <v>-226772.89137343402</v>
      </c>
      <c r="G52" s="2">
        <f t="shared" ref="G52:Y52" si="11">IF(G9&lt;&gt;"",G51*(1+F41)^-G9,"")</f>
        <v>-252818.29796388352</v>
      </c>
      <c r="H52" s="2">
        <f t="shared" si="11"/>
        <v>-254022.24114932018</v>
      </c>
      <c r="I52" s="2">
        <f t="shared" si="11"/>
        <v>-255370.65751700921</v>
      </c>
      <c r="J52" s="2">
        <f t="shared" si="11"/>
        <v>-256880.88384882096</v>
      </c>
      <c r="K52" s="2">
        <f t="shared" si="11"/>
        <v>-258572.33734045012</v>
      </c>
      <c r="L52" s="2">
        <f t="shared" si="11"/>
        <v>-260466.76525107474</v>
      </c>
      <c r="M52" s="2">
        <f t="shared" si="11"/>
        <v>-262588.52451097436</v>
      </c>
      <c r="N52" s="2">
        <f t="shared" si="11"/>
        <v>-264964.89488206193</v>
      </c>
      <c r="O52" s="2">
        <f t="shared" si="11"/>
        <v>-267626.42969768</v>
      </c>
      <c r="P52" s="2">
        <f t="shared" si="11"/>
        <v>-85127.944651655635</v>
      </c>
      <c r="Q52" s="2">
        <f t="shared" si="11"/>
        <v>-85127.944651655635</v>
      </c>
      <c r="R52" s="2">
        <f t="shared" si="11"/>
        <v>-85127.944651655635</v>
      </c>
      <c r="S52" s="2">
        <f t="shared" si="11"/>
        <v>-85127.944651655635</v>
      </c>
      <c r="T52" s="2">
        <f t="shared" si="11"/>
        <v>-85127.944651655635</v>
      </c>
      <c r="U52" s="2">
        <f t="shared" si="11"/>
        <v>-85127.944651655635</v>
      </c>
      <c r="V52" s="2">
        <f t="shared" si="11"/>
        <v>-85127.944651655635</v>
      </c>
      <c r="W52" s="2">
        <f t="shared" si="11"/>
        <v>-85127.944651655635</v>
      </c>
      <c r="X52" s="2">
        <f t="shared" si="11"/>
        <v>-85127.944651655635</v>
      </c>
      <c r="Y52" s="2">
        <f t="shared" si="11"/>
        <v>-85127.944651655635</v>
      </c>
      <c r="Z52" s="2"/>
    </row>
    <row r="53" spans="1:26" x14ac:dyDescent="0.25">
      <c r="A53" s="74" t="s">
        <v>181</v>
      </c>
      <c r="B53" s="74"/>
      <c r="C53" s="74"/>
      <c r="D53" s="74"/>
      <c r="E53" s="2">
        <f>+E52</f>
        <v>-1248000</v>
      </c>
      <c r="F53" s="2">
        <f t="shared" ref="F53:Y53" si="12">IF(F9&lt;&gt;"",E53+F52,"")</f>
        <v>-1474772.8913734341</v>
      </c>
      <c r="G53" s="2">
        <f t="shared" si="12"/>
        <v>-1727591.1893373176</v>
      </c>
      <c r="H53" s="2">
        <f t="shared" si="12"/>
        <v>-1981613.4304866379</v>
      </c>
      <c r="I53" s="2">
        <f t="shared" si="12"/>
        <v>-2236984.088003647</v>
      </c>
      <c r="J53" s="2">
        <f t="shared" si="12"/>
        <v>-2493864.9718524679</v>
      </c>
      <c r="K53" s="2">
        <f t="shared" si="12"/>
        <v>-2752437.3091929178</v>
      </c>
      <c r="L53" s="2">
        <f t="shared" si="12"/>
        <v>-3012904.0744439927</v>
      </c>
      <c r="M53" s="2">
        <f t="shared" si="12"/>
        <v>-3275492.5989549672</v>
      </c>
      <c r="N53" s="2">
        <f t="shared" si="12"/>
        <v>-3540457.4938370292</v>
      </c>
      <c r="O53" s="2">
        <f t="shared" si="12"/>
        <v>-3808083.923534709</v>
      </c>
      <c r="P53" s="2">
        <f t="shared" si="12"/>
        <v>-3893211.8681863649</v>
      </c>
      <c r="Q53" s="2">
        <f t="shared" si="12"/>
        <v>-3978339.8128380207</v>
      </c>
      <c r="R53" s="2">
        <f t="shared" si="12"/>
        <v>-4063467.7574896766</v>
      </c>
      <c r="S53" s="2">
        <f t="shared" si="12"/>
        <v>-4148595.7021413324</v>
      </c>
      <c r="T53" s="2">
        <f t="shared" si="12"/>
        <v>-4233723.6467929883</v>
      </c>
      <c r="U53" s="2">
        <f t="shared" si="12"/>
        <v>-4318851.5914446441</v>
      </c>
      <c r="V53" s="2">
        <f t="shared" si="12"/>
        <v>-4403979.5360963</v>
      </c>
      <c r="W53" s="2">
        <f t="shared" si="12"/>
        <v>-4489107.4807479559</v>
      </c>
      <c r="X53" s="2">
        <f t="shared" si="12"/>
        <v>-4574235.4253996117</v>
      </c>
      <c r="Y53" s="2">
        <f t="shared" si="12"/>
        <v>-4659363.3700512676</v>
      </c>
    </row>
    <row r="54" spans="1:26" x14ac:dyDescent="0.25">
      <c r="A54" s="74" t="s">
        <v>182</v>
      </c>
      <c r="B54" s="74"/>
      <c r="C54" s="74"/>
      <c r="D54" s="74"/>
      <c r="F54" s="2">
        <f t="shared" ref="F54:Y54" si="13">IF(F9&lt;&gt;"",F20,"")</f>
        <v>394592.96434437088</v>
      </c>
      <c r="G54" s="2">
        <f t="shared" si="13"/>
        <v>394592.96434437088</v>
      </c>
      <c r="H54" s="2">
        <f t="shared" si="13"/>
        <v>394592.96434437088</v>
      </c>
      <c r="I54" s="2">
        <f t="shared" si="13"/>
        <v>394592.96434437088</v>
      </c>
      <c r="J54" s="2">
        <f t="shared" si="13"/>
        <v>394592.96434437088</v>
      </c>
      <c r="K54" s="2">
        <f t="shared" si="13"/>
        <v>394592.96434437088</v>
      </c>
      <c r="L54" s="2">
        <f t="shared" si="13"/>
        <v>394592.96434437088</v>
      </c>
      <c r="M54" s="2">
        <f t="shared" si="13"/>
        <v>394592.96434437088</v>
      </c>
      <c r="N54" s="2">
        <f t="shared" si="13"/>
        <v>394592.96434437088</v>
      </c>
      <c r="O54" s="2">
        <f t="shared" si="13"/>
        <v>394592.96434437088</v>
      </c>
      <c r="P54" s="2">
        <f t="shared" si="13"/>
        <v>394592.96434437088</v>
      </c>
      <c r="Q54" s="2">
        <f t="shared" si="13"/>
        <v>394592.96434437088</v>
      </c>
      <c r="R54" s="2">
        <f t="shared" si="13"/>
        <v>394592.96434437088</v>
      </c>
      <c r="S54" s="2">
        <f t="shared" si="13"/>
        <v>394592.96434437088</v>
      </c>
      <c r="T54" s="2">
        <f t="shared" si="13"/>
        <v>394592.96434437088</v>
      </c>
      <c r="U54" s="2">
        <f t="shared" si="13"/>
        <v>394592.96434437088</v>
      </c>
      <c r="V54" s="2">
        <f t="shared" si="13"/>
        <v>394592.96434437088</v>
      </c>
      <c r="W54" s="2">
        <f t="shared" si="13"/>
        <v>394592.96434437088</v>
      </c>
      <c r="X54" s="2">
        <f t="shared" si="13"/>
        <v>394592.96434437088</v>
      </c>
      <c r="Y54" s="2">
        <f t="shared" si="13"/>
        <v>394592.96434437088</v>
      </c>
    </row>
    <row r="55" spans="1:26" x14ac:dyDescent="0.25">
      <c r="A55" s="74" t="s">
        <v>183</v>
      </c>
      <c r="B55" s="74"/>
      <c r="C55" s="74"/>
      <c r="D55" s="74"/>
      <c r="F55" s="2">
        <f>IF(F9&lt;&gt;"",F54*(1+E41)^-F9,"")</f>
        <v>355453.23403861275</v>
      </c>
      <c r="G55" s="2">
        <f t="shared" ref="G55:Y55" si="14">IF(G9&lt;&gt;"",G54*(1+F41)^-G9,"")</f>
        <v>394592.96434437088</v>
      </c>
      <c r="H55" s="2">
        <f t="shared" si="14"/>
        <v>394592.96434437088</v>
      </c>
      <c r="I55" s="2">
        <f t="shared" si="14"/>
        <v>394592.96434437088</v>
      </c>
      <c r="J55" s="2">
        <f t="shared" si="14"/>
        <v>394592.96434437088</v>
      </c>
      <c r="K55" s="2">
        <f t="shared" si="14"/>
        <v>394592.96434437088</v>
      </c>
      <c r="L55" s="2">
        <f t="shared" si="14"/>
        <v>394592.96434437088</v>
      </c>
      <c r="M55" s="2">
        <f t="shared" si="14"/>
        <v>394592.96434437088</v>
      </c>
      <c r="N55" s="2">
        <f t="shared" si="14"/>
        <v>394592.96434437088</v>
      </c>
      <c r="O55" s="2">
        <f t="shared" si="14"/>
        <v>394592.96434437088</v>
      </c>
      <c r="P55" s="2">
        <f t="shared" si="14"/>
        <v>394592.96434437088</v>
      </c>
      <c r="Q55" s="2">
        <f t="shared" si="14"/>
        <v>394592.96434437088</v>
      </c>
      <c r="R55" s="2">
        <f t="shared" si="14"/>
        <v>394592.96434437088</v>
      </c>
      <c r="S55" s="2">
        <f t="shared" si="14"/>
        <v>394592.96434437088</v>
      </c>
      <c r="T55" s="2">
        <f t="shared" si="14"/>
        <v>394592.96434437088</v>
      </c>
      <c r="U55" s="2">
        <f t="shared" si="14"/>
        <v>394592.96434437088</v>
      </c>
      <c r="V55" s="2">
        <f t="shared" si="14"/>
        <v>394592.96434437088</v>
      </c>
      <c r="W55" s="2">
        <f t="shared" si="14"/>
        <v>394592.96434437088</v>
      </c>
      <c r="X55" s="2">
        <f t="shared" si="14"/>
        <v>394592.96434437088</v>
      </c>
      <c r="Y55" s="2">
        <f t="shared" si="14"/>
        <v>394592.96434437088</v>
      </c>
    </row>
    <row r="56" spans="1:26" x14ac:dyDescent="0.25">
      <c r="A56" s="74" t="s">
        <v>184</v>
      </c>
      <c r="B56" s="74"/>
      <c r="C56" s="74"/>
      <c r="D56" s="74"/>
      <c r="F56" s="2">
        <f t="shared" ref="F56:Y56" si="15">IF(F9&lt;&gt;"",E56+F55,"")</f>
        <v>355453.23403861275</v>
      </c>
      <c r="G56" s="2">
        <f t="shared" si="15"/>
        <v>750046.19838298368</v>
      </c>
      <c r="H56" s="2">
        <f t="shared" si="15"/>
        <v>1144639.1627273546</v>
      </c>
      <c r="I56" s="2">
        <f t="shared" si="15"/>
        <v>1539232.1270717254</v>
      </c>
      <c r="J56" s="2">
        <f t="shared" si="15"/>
        <v>1933825.0914160963</v>
      </c>
      <c r="K56" s="2">
        <f t="shared" si="15"/>
        <v>2328418.0557604674</v>
      </c>
      <c r="L56" s="2">
        <f t="shared" si="15"/>
        <v>2723011.0201048385</v>
      </c>
      <c r="M56" s="2">
        <f t="shared" si="15"/>
        <v>3117603.9844492096</v>
      </c>
      <c r="N56" s="2">
        <f t="shared" si="15"/>
        <v>3512196.9487935808</v>
      </c>
      <c r="O56" s="2">
        <f t="shared" si="15"/>
        <v>3906789.9131379519</v>
      </c>
      <c r="P56" s="2">
        <f t="shared" si="15"/>
        <v>4301382.877482323</v>
      </c>
      <c r="Q56" s="2">
        <f t="shared" si="15"/>
        <v>4695975.8418266941</v>
      </c>
      <c r="R56" s="2">
        <f t="shared" si="15"/>
        <v>5090568.8061710652</v>
      </c>
      <c r="S56" s="2">
        <f t="shared" si="15"/>
        <v>5485161.7705154363</v>
      </c>
      <c r="T56" s="2">
        <f t="shared" si="15"/>
        <v>5879754.7348598074</v>
      </c>
      <c r="U56" s="2">
        <f t="shared" si="15"/>
        <v>6274347.6992041785</v>
      </c>
      <c r="V56" s="2">
        <f t="shared" si="15"/>
        <v>6668940.6635485496</v>
      </c>
      <c r="W56" s="2">
        <f t="shared" si="15"/>
        <v>7063533.6278929207</v>
      </c>
      <c r="X56" s="2">
        <f t="shared" si="15"/>
        <v>7458126.5922372919</v>
      </c>
      <c r="Y56" s="2">
        <f t="shared" si="15"/>
        <v>7852719.556581663</v>
      </c>
    </row>
    <row r="57" spans="1:26" x14ac:dyDescent="0.25">
      <c r="A57" s="74" t="s">
        <v>185</v>
      </c>
      <c r="B57" s="74"/>
      <c r="C57" s="74"/>
      <c r="D57" s="74"/>
      <c r="F57" s="2">
        <f t="shared" ref="F57:X57" si="16">IF(F9&lt;&gt;"",F56+F53,"")</f>
        <v>-1119319.6573348213</v>
      </c>
      <c r="G57" s="2">
        <f t="shared" si="16"/>
        <v>-977544.99095433392</v>
      </c>
      <c r="H57" s="2">
        <f t="shared" si="16"/>
        <v>-836974.26775928331</v>
      </c>
      <c r="I57" s="2">
        <f t="shared" si="16"/>
        <v>-697751.96093192161</v>
      </c>
      <c r="J57" s="2">
        <f t="shared" si="16"/>
        <v>-560039.88043637155</v>
      </c>
      <c r="K57" s="2">
        <f t="shared" si="16"/>
        <v>-424019.25343245035</v>
      </c>
      <c r="L57" s="2">
        <f t="shared" si="16"/>
        <v>-289893.05433915416</v>
      </c>
      <c r="M57" s="2">
        <f t="shared" si="16"/>
        <v>-157888.61450575758</v>
      </c>
      <c r="N57" s="2">
        <f t="shared" si="16"/>
        <v>-28260.545043448452</v>
      </c>
      <c r="O57" s="2">
        <f t="shared" si="16"/>
        <v>98705.989603242837</v>
      </c>
      <c r="P57" s="2">
        <f t="shared" si="16"/>
        <v>408171.00929595809</v>
      </c>
      <c r="Q57" s="2">
        <f t="shared" si="16"/>
        <v>717636.02898867335</v>
      </c>
      <c r="R57" s="2">
        <f t="shared" si="16"/>
        <v>1027101.0486813886</v>
      </c>
      <c r="S57" s="2">
        <f t="shared" si="16"/>
        <v>1336566.0683741039</v>
      </c>
      <c r="T57" s="2">
        <f t="shared" si="16"/>
        <v>1646031.0880668191</v>
      </c>
      <c r="U57" s="2">
        <f t="shared" si="16"/>
        <v>1955496.1077595344</v>
      </c>
      <c r="V57" s="2">
        <f t="shared" si="16"/>
        <v>2264961.1274522496</v>
      </c>
      <c r="W57" s="2">
        <f t="shared" si="16"/>
        <v>2574426.1471449649</v>
      </c>
      <c r="X57" s="2">
        <f t="shared" si="16"/>
        <v>2883891.1668376802</v>
      </c>
    </row>
    <row r="58" spans="1:26" x14ac:dyDescent="0.25">
      <c r="A58" s="46" t="s">
        <v>186</v>
      </c>
      <c r="B58" s="46"/>
      <c r="C58" s="46"/>
      <c r="D58" s="4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60" spans="1:26" x14ac:dyDescent="0.25">
      <c r="A60" s="74" t="s">
        <v>83</v>
      </c>
      <c r="B60" s="74"/>
      <c r="C60" s="74"/>
      <c r="D60" s="74"/>
      <c r="E60" s="2">
        <f>E11</f>
        <v>1048000</v>
      </c>
      <c r="F60" s="2">
        <f t="shared" ref="F60:Y60" si="17">IF(F9="",E60,-F53)</f>
        <v>1474772.8913734341</v>
      </c>
      <c r="G60" s="2">
        <f t="shared" si="17"/>
        <v>1727591.1893373176</v>
      </c>
      <c r="H60" s="2">
        <f t="shared" si="17"/>
        <v>1981613.4304866379</v>
      </c>
      <c r="I60" s="2">
        <f t="shared" si="17"/>
        <v>2236984.088003647</v>
      </c>
      <c r="J60" s="2">
        <f t="shared" si="17"/>
        <v>2493864.9718524679</v>
      </c>
      <c r="K60" s="2">
        <f t="shared" si="17"/>
        <v>2752437.3091929178</v>
      </c>
      <c r="L60" s="2">
        <f t="shared" si="17"/>
        <v>3012904.0744439927</v>
      </c>
      <c r="M60" s="2">
        <f t="shared" si="17"/>
        <v>3275492.5989549672</v>
      </c>
      <c r="N60" s="2">
        <f t="shared" si="17"/>
        <v>3540457.4938370292</v>
      </c>
      <c r="O60" s="2">
        <f t="shared" si="17"/>
        <v>3808083.923534709</v>
      </c>
      <c r="P60" s="2">
        <f t="shared" si="17"/>
        <v>3893211.8681863649</v>
      </c>
      <c r="Q60" s="2">
        <f t="shared" si="17"/>
        <v>3978339.8128380207</v>
      </c>
      <c r="R60" s="2">
        <f t="shared" si="17"/>
        <v>4063467.7574896766</v>
      </c>
      <c r="S60" s="2">
        <f t="shared" si="17"/>
        <v>4148595.7021413324</v>
      </c>
      <c r="T60" s="2">
        <f t="shared" si="17"/>
        <v>4233723.6467929883</v>
      </c>
      <c r="U60" s="2">
        <f t="shared" si="17"/>
        <v>4318851.5914446441</v>
      </c>
      <c r="V60" s="2">
        <f t="shared" si="17"/>
        <v>4403979.5360963</v>
      </c>
      <c r="W60" s="2">
        <f t="shared" si="17"/>
        <v>4489107.4807479559</v>
      </c>
      <c r="X60" s="2">
        <f t="shared" si="17"/>
        <v>4574235.4253996117</v>
      </c>
      <c r="Y60" s="2">
        <f t="shared" si="17"/>
        <v>4659363.3700512676</v>
      </c>
    </row>
    <row r="61" spans="1:26" x14ac:dyDescent="0.25">
      <c r="A61" s="74" t="s">
        <v>90</v>
      </c>
      <c r="B61" s="74"/>
      <c r="C61" s="74"/>
      <c r="D61" s="74"/>
      <c r="F61" s="2">
        <f t="shared" ref="F61:Y61" si="18">IF(F9="",E61,F56)</f>
        <v>355453.23403861275</v>
      </c>
      <c r="G61" s="2">
        <f t="shared" si="18"/>
        <v>750046.19838298368</v>
      </c>
      <c r="H61" s="2">
        <f t="shared" si="18"/>
        <v>1144639.1627273546</v>
      </c>
      <c r="I61" s="2">
        <f t="shared" si="18"/>
        <v>1539232.1270717254</v>
      </c>
      <c r="J61" s="2">
        <f t="shared" si="18"/>
        <v>1933825.0914160963</v>
      </c>
      <c r="K61" s="2">
        <f t="shared" si="18"/>
        <v>2328418.0557604674</v>
      </c>
      <c r="L61" s="2">
        <f t="shared" si="18"/>
        <v>2723011.0201048385</v>
      </c>
      <c r="M61" s="2">
        <f t="shared" si="18"/>
        <v>3117603.9844492096</v>
      </c>
      <c r="N61" s="2">
        <f t="shared" si="18"/>
        <v>3512196.9487935808</v>
      </c>
      <c r="O61" s="2">
        <f t="shared" si="18"/>
        <v>3906789.9131379519</v>
      </c>
      <c r="P61" s="2">
        <f t="shared" si="18"/>
        <v>4301382.877482323</v>
      </c>
      <c r="Q61" s="2">
        <f t="shared" si="18"/>
        <v>4695975.8418266941</v>
      </c>
      <c r="R61" s="2">
        <f t="shared" si="18"/>
        <v>5090568.8061710652</v>
      </c>
      <c r="S61" s="2">
        <f t="shared" si="18"/>
        <v>5485161.7705154363</v>
      </c>
      <c r="T61" s="2">
        <f t="shared" si="18"/>
        <v>5879754.7348598074</v>
      </c>
      <c r="U61" s="2">
        <f t="shared" si="18"/>
        <v>6274347.6992041785</v>
      </c>
      <c r="V61" s="2">
        <f t="shared" si="18"/>
        <v>6668940.6635485496</v>
      </c>
      <c r="W61" s="2">
        <f t="shared" si="18"/>
        <v>7063533.6278929207</v>
      </c>
      <c r="X61" s="2">
        <f t="shared" si="18"/>
        <v>7458126.5922372919</v>
      </c>
      <c r="Y61" s="2">
        <f t="shared" si="18"/>
        <v>7852719.556581663</v>
      </c>
    </row>
  </sheetData>
  <sheetProtection selectLockedCells="1"/>
  <mergeCells count="35">
    <mergeCell ref="F3:I3"/>
    <mergeCell ref="I7:J7"/>
    <mergeCell ref="N7:O7"/>
    <mergeCell ref="A14:D14"/>
    <mergeCell ref="A7:D7"/>
    <mergeCell ref="A9:D9"/>
    <mergeCell ref="A11:D11"/>
    <mergeCell ref="A12:D12"/>
    <mergeCell ref="A13:D13"/>
    <mergeCell ref="A27:D27"/>
    <mergeCell ref="A30:D30"/>
    <mergeCell ref="A33:D33"/>
    <mergeCell ref="A34:D34"/>
    <mergeCell ref="A29:D29"/>
    <mergeCell ref="A20:D20"/>
    <mergeCell ref="A21:D21"/>
    <mergeCell ref="A23:D23"/>
    <mergeCell ref="A25:D25"/>
    <mergeCell ref="A26:D26"/>
    <mergeCell ref="A17:D17"/>
    <mergeCell ref="A22:D22"/>
    <mergeCell ref="A28:D28"/>
    <mergeCell ref="A61:D61"/>
    <mergeCell ref="A19:D19"/>
    <mergeCell ref="A53:D53"/>
    <mergeCell ref="A54:D54"/>
    <mergeCell ref="A55:D55"/>
    <mergeCell ref="A56:D56"/>
    <mergeCell ref="A57:D57"/>
    <mergeCell ref="A60:D60"/>
    <mergeCell ref="A35:D35"/>
    <mergeCell ref="A36:D36"/>
    <mergeCell ref="A51:D51"/>
    <mergeCell ref="A52:D52"/>
    <mergeCell ref="A18:D18"/>
  </mergeCells>
  <dataValidations disablePrompts="1" count="1">
    <dataValidation allowBlank="1" showInputMessage="1" showErrorMessage="1" promptTitle="CashFlow" prompt="Ne obuhvata amortizaciju, ali obuhvata otplatu glavnice." sqref="A38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2"/>
  <sheetViews>
    <sheetView workbookViewId="0">
      <selection activeCell="L2" sqref="L2"/>
    </sheetView>
  </sheetViews>
  <sheetFormatPr defaultRowHeight="15" x14ac:dyDescent="0.25"/>
  <sheetData>
    <row r="2" spans="1:9" ht="16.5" x14ac:dyDescent="0.35">
      <c r="F2" s="64" t="s">
        <v>196</v>
      </c>
      <c r="G2" s="64"/>
      <c r="H2" s="64"/>
      <c r="I2" s="64"/>
    </row>
    <row r="7" spans="1:9" ht="15" customHeight="1" x14ac:dyDescent="0.25">
      <c r="A7" s="66" t="s">
        <v>91</v>
      </c>
      <c r="B7" s="66"/>
      <c r="C7" s="66"/>
      <c r="D7" s="66"/>
    </row>
    <row r="8" spans="1:9" ht="15" customHeight="1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138</v>
      </c>
      <c r="B11" s="68"/>
      <c r="C11" s="69" t="s">
        <v>139</v>
      </c>
      <c r="D11" s="69"/>
    </row>
    <row r="12" spans="1:9" x14ac:dyDescent="0.25">
      <c r="A12" s="68"/>
      <c r="B12" s="68"/>
      <c r="C12" s="69"/>
      <c r="D12" s="69"/>
    </row>
  </sheetData>
  <sheetProtection selectLockedCells="1" selectUnlockedCells="1"/>
  <mergeCells count="4">
    <mergeCell ref="A7:D9"/>
    <mergeCell ref="A11:B12"/>
    <mergeCell ref="C11:D12"/>
    <mergeCell ref="F2:I2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11</vt:i4>
      </vt:variant>
    </vt:vector>
  </HeadingPairs>
  <TitlesOfParts>
    <vt:vector size="27" baseType="lpstr">
      <vt:lpstr>Pocetna</vt:lpstr>
      <vt:lpstr>PomTab1</vt:lpstr>
      <vt:lpstr>KonvFaktor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CirkP</vt:lpstr>
      <vt:lpstr>EFAKTOR</vt:lpstr>
      <vt:lpstr>ElEn</vt:lpstr>
      <vt:lpstr>Equity</vt:lpstr>
      <vt:lpstr>etagrid</vt:lpstr>
      <vt:lpstr>Gorivo</vt:lpstr>
      <vt:lpstr>Investment</vt:lpstr>
      <vt:lpstr>LCOEE</vt:lpstr>
      <vt:lpstr>LOAN</vt:lpstr>
      <vt:lpstr>PROJEKAT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2023-07-21T07:33:31Z</dcterms:modified>
</cp:coreProperties>
</file>