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2" activeTab="14"/>
  </bookViews>
  <sheets>
    <sheet name="Pocetna" sheetId="1" r:id="rId1"/>
    <sheet name="KonvFaktor" sheetId="18" r:id="rId2"/>
    <sheet name="PomTab1" sheetId="4" r:id="rId3"/>
    <sheet name="UnosPodataka" sheetId="2" r:id="rId4"/>
    <sheet name="Ustede" sheetId="5" r:id="rId5"/>
    <sheet name="Anuiteti" sheetId="6" r:id="rId6"/>
    <sheet name="FinaIndicators" sheetId="7" r:id="rId7"/>
    <sheet name="FinInd+CO2" sheetId="17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9" state="hidden" r:id="rId16"/>
  </sheets>
  <externalReferences>
    <externalReference r:id="rId17"/>
  </externalReferences>
  <definedNames>
    <definedName name="CARBON">UnosPodataka!$M$13</definedName>
    <definedName name="Equity">UnosPodataka!$F$26</definedName>
    <definedName name="FIRR" localSheetId="7">'FinInd+CO2'!#REF!</definedName>
    <definedName name="FIRR">FinaIndicators!#REF!</definedName>
    <definedName name="FNPV" localSheetId="7">'FinInd+CO2'!#REF!</definedName>
    <definedName name="FNPV">FinaIndicators!#REF!</definedName>
    <definedName name="InfRate" comment="Inflacija">0</definedName>
    <definedName name="Investment">UnosPodataka!$F$19</definedName>
    <definedName name="Kurs_EUR" comment="Obračunski kurs EUR na dan 19-5-2022">117.489</definedName>
    <definedName name="LCo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8" l="1"/>
  <c r="E17" i="18"/>
  <c r="D17" i="18"/>
  <c r="E16" i="18"/>
  <c r="D16" i="18"/>
  <c r="E15" i="18"/>
  <c r="D15" i="18"/>
  <c r="E14" i="18"/>
  <c r="D14" i="18"/>
  <c r="D13" i="18"/>
  <c r="E13" i="18" s="1"/>
  <c r="D12" i="18"/>
  <c r="E12" i="18" s="1"/>
  <c r="E18" i="18" l="1"/>
  <c r="E21" i="18" s="1"/>
  <c r="P39" i="4" s="1"/>
  <c r="M23" i="2" s="1"/>
  <c r="H24" i="17" l="1"/>
  <c r="I24" i="17"/>
  <c r="J24" i="17"/>
  <c r="K24" i="17"/>
  <c r="L24" i="17"/>
  <c r="M24" i="17"/>
  <c r="N24" i="17"/>
  <c r="O24" i="17"/>
  <c r="P24" i="17"/>
  <c r="Q24" i="17"/>
  <c r="R24" i="17"/>
  <c r="S24" i="17"/>
  <c r="T24" i="17"/>
  <c r="U24" i="17"/>
  <c r="V24" i="17"/>
  <c r="W24" i="17"/>
  <c r="X24" i="17"/>
  <c r="Y24" i="17"/>
  <c r="G24" i="17"/>
  <c r="F24" i="1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19" i="2"/>
  <c r="F25" i="17"/>
  <c r="F15" i="17"/>
  <c r="E13" i="17"/>
  <c r="E12" i="17"/>
  <c r="G9" i="17"/>
  <c r="G25" i="17" l="1"/>
  <c r="G15" i="17"/>
  <c r="H9" i="17"/>
  <c r="E13" i="7"/>
  <c r="H15" i="17" l="1"/>
  <c r="I9" i="17"/>
  <c r="H25" i="17"/>
  <c r="K24" i="4"/>
  <c r="K22" i="4"/>
  <c r="J9" i="17" l="1"/>
  <c r="I25" i="17"/>
  <c r="I15" i="17"/>
  <c r="E12" i="16"/>
  <c r="E11" i="16"/>
  <c r="E9" i="16"/>
  <c r="J25" i="17" l="1"/>
  <c r="J15" i="17"/>
  <c r="K9" i="17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K25" i="17" l="1"/>
  <c r="K15" i="17"/>
  <c r="L9" i="17"/>
  <c r="F25" i="7"/>
  <c r="F10" i="12"/>
  <c r="F15" i="7"/>
  <c r="G9" i="7"/>
  <c r="E12" i="7"/>
  <c r="F19" i="5"/>
  <c r="E10" i="16" l="1"/>
  <c r="F26" i="17"/>
  <c r="F26" i="7"/>
  <c r="F27" i="17"/>
  <c r="G26" i="17"/>
  <c r="G27" i="17"/>
  <c r="H27" i="17"/>
  <c r="H26" i="17"/>
  <c r="I26" i="17"/>
  <c r="I27" i="17"/>
  <c r="J26" i="17"/>
  <c r="J27" i="17"/>
  <c r="K26" i="17"/>
  <c r="K27" i="17"/>
  <c r="F20" i="5"/>
  <c r="I18" i="17" s="1"/>
  <c r="F14" i="17"/>
  <c r="F19" i="17" s="1"/>
  <c r="G14" i="17"/>
  <c r="G19" i="17" s="1"/>
  <c r="H14" i="17"/>
  <c r="H19" i="17" s="1"/>
  <c r="I14" i="17"/>
  <c r="I19" i="17" s="1"/>
  <c r="J14" i="17"/>
  <c r="J19" i="17" s="1"/>
  <c r="K14" i="17"/>
  <c r="K19" i="17" s="1"/>
  <c r="L26" i="17"/>
  <c r="L14" i="17"/>
  <c r="L19" i="17" s="1"/>
  <c r="L27" i="17"/>
  <c r="L15" i="17"/>
  <c r="M9" i="17"/>
  <c r="L25" i="17"/>
  <c r="G26" i="7"/>
  <c r="F14" i="7"/>
  <c r="F16" i="12" s="1"/>
  <c r="F17" i="12" s="1"/>
  <c r="F12" i="12"/>
  <c r="G10" i="12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G25" i="7"/>
  <c r="H9" i="7"/>
  <c r="G14" i="7"/>
  <c r="G15" i="7"/>
  <c r="L18" i="17" l="1"/>
  <c r="L20" i="17" s="1"/>
  <c r="L54" i="17" s="1"/>
  <c r="G18" i="7"/>
  <c r="G27" i="7" s="1"/>
  <c r="G12" i="14" s="1"/>
  <c r="G13" i="14" s="1"/>
  <c r="H18" i="17"/>
  <c r="H20" i="17" s="1"/>
  <c r="G18" i="17"/>
  <c r="G28" i="17" s="1"/>
  <c r="K18" i="17"/>
  <c r="K20" i="17" s="1"/>
  <c r="F18" i="17"/>
  <c r="F28" i="17" s="1"/>
  <c r="J18" i="17"/>
  <c r="J28" i="17" s="1"/>
  <c r="F18" i="7"/>
  <c r="F27" i="7" s="1"/>
  <c r="F12" i="14" s="1"/>
  <c r="F13" i="14" s="1"/>
  <c r="I20" i="17"/>
  <c r="L28" i="17"/>
  <c r="N9" i="17"/>
  <c r="M27" i="17"/>
  <c r="M15" i="17"/>
  <c r="M18" i="17"/>
  <c r="M25" i="17"/>
  <c r="M26" i="17"/>
  <c r="M14" i="17"/>
  <c r="M19" i="17" s="1"/>
  <c r="I28" i="17"/>
  <c r="H26" i="7"/>
  <c r="G16" i="12"/>
  <c r="G17" i="12" s="1"/>
  <c r="I9" i="7"/>
  <c r="H25" i="7"/>
  <c r="H18" i="7"/>
  <c r="H27" i="7" s="1"/>
  <c r="H12" i="14" s="1"/>
  <c r="H15" i="7"/>
  <c r="H14" i="7"/>
  <c r="H16" i="12" s="1"/>
  <c r="H17" i="12" s="1"/>
  <c r="F20" i="17" l="1"/>
  <c r="F54" i="17" s="1"/>
  <c r="J20" i="17"/>
  <c r="J54" i="17" s="1"/>
  <c r="G20" i="17"/>
  <c r="G54" i="17" s="1"/>
  <c r="K28" i="17"/>
  <c r="H28" i="17"/>
  <c r="M28" i="17"/>
  <c r="M20" i="17"/>
  <c r="N18" i="17"/>
  <c r="N28" i="17" s="1"/>
  <c r="O9" i="17"/>
  <c r="N25" i="17"/>
  <c r="N26" i="17"/>
  <c r="N23" i="17"/>
  <c r="N14" i="17"/>
  <c r="N19" i="17" s="1"/>
  <c r="N27" i="17"/>
  <c r="N15" i="17"/>
  <c r="H54" i="17"/>
  <c r="I54" i="17"/>
  <c r="K54" i="17"/>
  <c r="I26" i="7"/>
  <c r="H13" i="14"/>
  <c r="J9" i="7"/>
  <c r="I18" i="7"/>
  <c r="I27" i="7" s="1"/>
  <c r="I12" i="14" s="1"/>
  <c r="I14" i="7"/>
  <c r="I16" i="12" s="1"/>
  <c r="I17" i="12" s="1"/>
  <c r="I15" i="7"/>
  <c r="I25" i="7"/>
  <c r="N20" i="17" l="1"/>
  <c r="N54" i="17" s="1"/>
  <c r="N29" i="17"/>
  <c r="M54" i="17"/>
  <c r="O27" i="17"/>
  <c r="O26" i="17"/>
  <c r="O25" i="17"/>
  <c r="O23" i="17"/>
  <c r="O18" i="17"/>
  <c r="O15" i="17"/>
  <c r="O14" i="17"/>
  <c r="O19" i="17" s="1"/>
  <c r="P9" i="17"/>
  <c r="J26" i="7"/>
  <c r="I13" i="14"/>
  <c r="K9" i="7"/>
  <c r="J25" i="7"/>
  <c r="J18" i="7"/>
  <c r="J27" i="7" s="1"/>
  <c r="J12" i="14" s="1"/>
  <c r="J13" i="14" s="1"/>
  <c r="J15" i="7"/>
  <c r="J14" i="7"/>
  <c r="J16" i="12" s="1"/>
  <c r="J17" i="12" s="1"/>
  <c r="N32" i="17" l="1"/>
  <c r="N34" i="17" s="1"/>
  <c r="N35" i="17" s="1"/>
  <c r="N37" i="17" s="1"/>
  <c r="N51" i="17"/>
  <c r="O28" i="17"/>
  <c r="O29" i="17" s="1"/>
  <c r="O51" i="17" s="1"/>
  <c r="O20" i="17"/>
  <c r="O54" i="17" s="1"/>
  <c r="P25" i="17"/>
  <c r="P26" i="17"/>
  <c r="P23" i="17"/>
  <c r="P14" i="17"/>
  <c r="P19" i="17" s="1"/>
  <c r="P27" i="17"/>
  <c r="P15" i="17"/>
  <c r="Q9" i="17"/>
  <c r="P18" i="17"/>
  <c r="K26" i="7"/>
  <c r="L9" i="7"/>
  <c r="K25" i="7"/>
  <c r="K18" i="7"/>
  <c r="K27" i="7" s="1"/>
  <c r="K12" i="14" s="1"/>
  <c r="K13" i="14" s="1"/>
  <c r="K15" i="7"/>
  <c r="K14" i="7"/>
  <c r="K16" i="12" s="1"/>
  <c r="K17" i="12" s="1"/>
  <c r="N31" i="17" l="1"/>
  <c r="P28" i="17"/>
  <c r="P29" i="17" s="1"/>
  <c r="P20" i="17"/>
  <c r="P54" i="17" s="1"/>
  <c r="O32" i="17"/>
  <c r="O34" i="17" s="1"/>
  <c r="O31" i="17" s="1"/>
  <c r="R9" i="17"/>
  <c r="Q26" i="17"/>
  <c r="Q23" i="17"/>
  <c r="Q14" i="17"/>
  <c r="Q19" i="17" s="1"/>
  <c r="Q27" i="17"/>
  <c r="Q15" i="17"/>
  <c r="Q18" i="17"/>
  <c r="Q25" i="17"/>
  <c r="L26" i="7"/>
  <c r="M9" i="7"/>
  <c r="L25" i="7"/>
  <c r="L18" i="7"/>
  <c r="L27" i="7" s="1"/>
  <c r="L12" i="14" s="1"/>
  <c r="L13" i="14" s="1"/>
  <c r="L15" i="7"/>
  <c r="L14" i="7"/>
  <c r="L16" i="12" s="1"/>
  <c r="L17" i="12" s="1"/>
  <c r="Q28" i="17" l="1"/>
  <c r="Q29" i="17" s="1"/>
  <c r="Q51" i="17" s="1"/>
  <c r="Q20" i="17"/>
  <c r="O35" i="17"/>
  <c r="O37" i="17" s="1"/>
  <c r="P51" i="17"/>
  <c r="R27" i="17"/>
  <c r="R15" i="17"/>
  <c r="R18" i="17"/>
  <c r="S9" i="17"/>
  <c r="R25" i="17"/>
  <c r="R26" i="17"/>
  <c r="R23" i="17"/>
  <c r="R14" i="17"/>
  <c r="R19" i="17" s="1"/>
  <c r="P32" i="17"/>
  <c r="M26" i="7"/>
  <c r="N9" i="7"/>
  <c r="M25" i="7"/>
  <c r="M18" i="7"/>
  <c r="M27" i="7" s="1"/>
  <c r="M12" i="14" s="1"/>
  <c r="M13" i="14" s="1"/>
  <c r="M15" i="7"/>
  <c r="M14" i="7"/>
  <c r="M16" i="12" s="1"/>
  <c r="M17" i="12" s="1"/>
  <c r="R28" i="17" l="1"/>
  <c r="R29" i="17" s="1"/>
  <c r="R51" i="17" s="1"/>
  <c r="R20" i="17"/>
  <c r="R54" i="17" s="1"/>
  <c r="P34" i="17"/>
  <c r="P31" i="17" s="1"/>
  <c r="S27" i="17"/>
  <c r="S26" i="17"/>
  <c r="S25" i="17"/>
  <c r="S23" i="17"/>
  <c r="S18" i="17"/>
  <c r="S15" i="17"/>
  <c r="S14" i="17"/>
  <c r="S19" i="17" s="1"/>
  <c r="T9" i="17"/>
  <c r="Q32" i="17"/>
  <c r="Q54" i="17"/>
  <c r="N26" i="7"/>
  <c r="O9" i="7"/>
  <c r="N25" i="7"/>
  <c r="N18" i="7"/>
  <c r="N27" i="7" s="1"/>
  <c r="N12" i="14" s="1"/>
  <c r="N13" i="14" s="1"/>
  <c r="N15" i="7"/>
  <c r="N14" i="7"/>
  <c r="N16" i="12" s="1"/>
  <c r="N17" i="12" s="1"/>
  <c r="N22" i="7"/>
  <c r="S20" i="17" l="1"/>
  <c r="R32" i="17"/>
  <c r="R34" i="17" s="1"/>
  <c r="R31" i="17" s="1"/>
  <c r="S28" i="17"/>
  <c r="S29" i="17" s="1"/>
  <c r="P35" i="17"/>
  <c r="P37" i="17" s="1"/>
  <c r="S54" i="17"/>
  <c r="Q34" i="17"/>
  <c r="Q31" i="17" s="1"/>
  <c r="T18" i="17"/>
  <c r="T25" i="17"/>
  <c r="T26" i="17"/>
  <c r="T23" i="17"/>
  <c r="T14" i="17"/>
  <c r="T19" i="17" s="1"/>
  <c r="T27" i="17"/>
  <c r="T15" i="17"/>
  <c r="U9" i="17"/>
  <c r="O26" i="7"/>
  <c r="P9" i="7"/>
  <c r="O25" i="7"/>
  <c r="O22" i="7"/>
  <c r="O18" i="7"/>
  <c r="O27" i="7" s="1"/>
  <c r="O12" i="14" s="1"/>
  <c r="O13" i="14" s="1"/>
  <c r="O15" i="7"/>
  <c r="O14" i="7"/>
  <c r="O16" i="12" s="1"/>
  <c r="O17" i="12" s="1"/>
  <c r="T20" i="17" l="1"/>
  <c r="T54" i="17" s="1"/>
  <c r="R35" i="17"/>
  <c r="R37" i="17" s="1"/>
  <c r="S32" i="17"/>
  <c r="S34" i="17" s="1"/>
  <c r="S31" i="17" s="1"/>
  <c r="S51" i="17"/>
  <c r="T28" i="17"/>
  <c r="T29" i="17" s="1"/>
  <c r="V9" i="17"/>
  <c r="U25" i="17"/>
  <c r="U26" i="17"/>
  <c r="U23" i="17"/>
  <c r="U14" i="17"/>
  <c r="U19" i="17" s="1"/>
  <c r="U27" i="17"/>
  <c r="U15" i="17"/>
  <c r="U18" i="17"/>
  <c r="Q35" i="17"/>
  <c r="Q37" i="17" s="1"/>
  <c r="P26" i="7"/>
  <c r="Q9" i="7"/>
  <c r="P25" i="7"/>
  <c r="P22" i="7"/>
  <c r="P18" i="7"/>
  <c r="P27" i="7" s="1"/>
  <c r="P12" i="14" s="1"/>
  <c r="P13" i="14" s="1"/>
  <c r="P15" i="7"/>
  <c r="P14" i="7"/>
  <c r="P16" i="12" s="1"/>
  <c r="P17" i="12" s="1"/>
  <c r="U28" i="17" l="1"/>
  <c r="U29" i="17" s="1"/>
  <c r="U20" i="17"/>
  <c r="T51" i="17"/>
  <c r="T32" i="17"/>
  <c r="T34" i="17" s="1"/>
  <c r="T31" i="17" s="1"/>
  <c r="S35" i="17"/>
  <c r="S37" i="17" s="1"/>
  <c r="V26" i="17"/>
  <c r="V23" i="17"/>
  <c r="V14" i="17"/>
  <c r="V19" i="17" s="1"/>
  <c r="V27" i="17"/>
  <c r="V15" i="17"/>
  <c r="V18" i="17"/>
  <c r="W9" i="17"/>
  <c r="V25" i="17"/>
  <c r="Q26" i="7"/>
  <c r="R9" i="7"/>
  <c r="Q25" i="7"/>
  <c r="Q18" i="7"/>
  <c r="Q27" i="7" s="1"/>
  <c r="Q12" i="14" s="1"/>
  <c r="Q13" i="14" s="1"/>
  <c r="Q15" i="7"/>
  <c r="Q14" i="7"/>
  <c r="Q16" i="12" s="1"/>
  <c r="Q17" i="12" s="1"/>
  <c r="Q22" i="7"/>
  <c r="V28" i="17" l="1"/>
  <c r="V29" i="17" s="1"/>
  <c r="V20" i="17"/>
  <c r="V54" i="17" s="1"/>
  <c r="W27" i="17"/>
  <c r="W26" i="17"/>
  <c r="W25" i="17"/>
  <c r="W23" i="17"/>
  <c r="W18" i="17"/>
  <c r="W15" i="17"/>
  <c r="W14" i="17"/>
  <c r="W19" i="17" s="1"/>
  <c r="X9" i="17"/>
  <c r="U32" i="17"/>
  <c r="U54" i="17"/>
  <c r="T35" i="17"/>
  <c r="T37" i="17" s="1"/>
  <c r="U51" i="17"/>
  <c r="R26" i="7"/>
  <c r="S9" i="7"/>
  <c r="R25" i="7"/>
  <c r="R18" i="7"/>
  <c r="R27" i="7" s="1"/>
  <c r="R12" i="14" s="1"/>
  <c r="R13" i="14" s="1"/>
  <c r="R15" i="7"/>
  <c r="R14" i="7"/>
  <c r="R16" i="12" s="1"/>
  <c r="R17" i="12" s="1"/>
  <c r="R22" i="7"/>
  <c r="V32" i="17" l="1"/>
  <c r="V34" i="17" s="1"/>
  <c r="V31" i="17" s="1"/>
  <c r="W28" i="17"/>
  <c r="W29" i="17" s="1"/>
  <c r="W20" i="17"/>
  <c r="X27" i="17"/>
  <c r="X15" i="17"/>
  <c r="Y9" i="17"/>
  <c r="X18" i="17"/>
  <c r="X25" i="17"/>
  <c r="X26" i="17"/>
  <c r="X23" i="17"/>
  <c r="X14" i="17"/>
  <c r="X19" i="17" s="1"/>
  <c r="U34" i="17"/>
  <c r="U31" i="17" s="1"/>
  <c r="V51" i="17"/>
  <c r="S26" i="7"/>
  <c r="T9" i="7"/>
  <c r="S25" i="7"/>
  <c r="S22" i="7"/>
  <c r="S18" i="7"/>
  <c r="S27" i="7" s="1"/>
  <c r="S12" i="14" s="1"/>
  <c r="S13" i="14" s="1"/>
  <c r="S15" i="7"/>
  <c r="S14" i="7"/>
  <c r="S16" i="12" s="1"/>
  <c r="S17" i="12" s="1"/>
  <c r="V35" i="17" l="1"/>
  <c r="V37" i="17" s="1"/>
  <c r="X20" i="17"/>
  <c r="X54" i="17" s="1"/>
  <c r="X28" i="17"/>
  <c r="X29" i="17" s="1"/>
  <c r="U35" i="17"/>
  <c r="U37" i="17" s="1"/>
  <c r="Y18" i="17"/>
  <c r="Y25" i="17"/>
  <c r="Y26" i="17"/>
  <c r="Y23" i="17"/>
  <c r="Y14" i="17"/>
  <c r="Y19" i="17" s="1"/>
  <c r="Y27" i="17"/>
  <c r="Y15" i="17"/>
  <c r="W32" i="17"/>
  <c r="W54" i="17"/>
  <c r="W51" i="17"/>
  <c r="T26" i="7"/>
  <c r="U9" i="7"/>
  <c r="T25" i="7"/>
  <c r="T22" i="7"/>
  <c r="T18" i="7"/>
  <c r="T27" i="7" s="1"/>
  <c r="T12" i="14" s="1"/>
  <c r="T13" i="14" s="1"/>
  <c r="T15" i="7"/>
  <c r="T14" i="7"/>
  <c r="T16" i="12" s="1"/>
  <c r="T17" i="12" s="1"/>
  <c r="Y28" i="17" l="1"/>
  <c r="Y20" i="17"/>
  <c r="X51" i="17"/>
  <c r="X32" i="17"/>
  <c r="X34" i="17" s="1"/>
  <c r="X31" i="17" s="1"/>
  <c r="Y29" i="17"/>
  <c r="W34" i="17"/>
  <c r="W31" i="17" s="1"/>
  <c r="U26" i="7"/>
  <c r="V9" i="7"/>
  <c r="U22" i="7"/>
  <c r="U25" i="7"/>
  <c r="U18" i="7"/>
  <c r="U27" i="7" s="1"/>
  <c r="U12" i="14" s="1"/>
  <c r="U13" i="14" s="1"/>
  <c r="U15" i="7"/>
  <c r="U14" i="7"/>
  <c r="U16" i="12" s="1"/>
  <c r="U17" i="12" s="1"/>
  <c r="X35" i="17" l="1"/>
  <c r="X37" i="17" s="1"/>
  <c r="W35" i="17"/>
  <c r="W37" i="17" s="1"/>
  <c r="Y32" i="17"/>
  <c r="Y54" i="17"/>
  <c r="Y51" i="17"/>
  <c r="V26" i="7"/>
  <c r="W9" i="7"/>
  <c r="V25" i="7"/>
  <c r="V18" i="7"/>
  <c r="V27" i="7" s="1"/>
  <c r="V12" i="14" s="1"/>
  <c r="V13" i="14" s="1"/>
  <c r="V15" i="7"/>
  <c r="V14" i="7"/>
  <c r="V16" i="12" s="1"/>
  <c r="V17" i="12" s="1"/>
  <c r="V22" i="7"/>
  <c r="Y34" i="17" l="1"/>
  <c r="Y31" i="17" s="1"/>
  <c r="W26" i="7"/>
  <c r="X9" i="7"/>
  <c r="W25" i="7"/>
  <c r="W22" i="7"/>
  <c r="W18" i="7"/>
  <c r="W27" i="7" s="1"/>
  <c r="W12" i="14" s="1"/>
  <c r="W13" i="14" s="1"/>
  <c r="W15" i="7"/>
  <c r="W14" i="7"/>
  <c r="W16" i="12" s="1"/>
  <c r="W17" i="12" s="1"/>
  <c r="Y35" i="17" l="1"/>
  <c r="Y37" i="17" s="1"/>
  <c r="X26" i="7"/>
  <c r="Y9" i="7"/>
  <c r="X25" i="7"/>
  <c r="X22" i="7"/>
  <c r="X18" i="7"/>
  <c r="X27" i="7" s="1"/>
  <c r="X12" i="14" s="1"/>
  <c r="X15" i="7"/>
  <c r="X14" i="7"/>
  <c r="X16" i="12" s="1"/>
  <c r="X17" i="12" s="1"/>
  <c r="Y26" i="7" l="1"/>
  <c r="X13" i="14"/>
  <c r="E15" i="14"/>
  <c r="Y18" i="7"/>
  <c r="Y27" i="7" s="1"/>
  <c r="Y12" i="14" s="1"/>
  <c r="Y13" i="14" s="1"/>
  <c r="Y14" i="7"/>
  <c r="Y16" i="12" s="1"/>
  <c r="Y17" i="12" s="1"/>
  <c r="Y25" i="7"/>
  <c r="Y22" i="7"/>
  <c r="Y15" i="7"/>
  <c r="F24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4" i="7" l="1"/>
  <c r="H24" i="7" l="1"/>
  <c r="I24" i="7" l="1"/>
  <c r="J24" i="7" l="1"/>
  <c r="K24" i="7" l="1"/>
  <c r="L24" i="7" l="1"/>
  <c r="M24" i="7" l="1"/>
  <c r="N24" i="7" l="1"/>
  <c r="N28" i="7" s="1"/>
  <c r="O24" i="7" l="1"/>
  <c r="O28" i="7" s="1"/>
  <c r="P24" i="7" l="1"/>
  <c r="P28" i="7" s="1"/>
  <c r="Q24" i="7" l="1"/>
  <c r="Q28" i="7" s="1"/>
  <c r="R19" i="7" l="1"/>
  <c r="R24" i="7"/>
  <c r="R28" i="7" s="1"/>
  <c r="O19" i="7"/>
  <c r="J19" i="7"/>
  <c r="K19" i="7"/>
  <c r="G19" i="7"/>
  <c r="Q19" i="7"/>
  <c r="P19" i="7"/>
  <c r="F19" i="7"/>
  <c r="M19" i="7"/>
  <c r="L19" i="7"/>
  <c r="N19" i="7"/>
  <c r="I19" i="7"/>
  <c r="H19" i="7"/>
  <c r="F27" i="2"/>
  <c r="B25" i="4"/>
  <c r="N53" i="7" l="1"/>
  <c r="N31" i="7"/>
  <c r="P53" i="7"/>
  <c r="P31" i="7"/>
  <c r="L53" i="7"/>
  <c r="O53" i="7"/>
  <c r="O31" i="7"/>
  <c r="H53" i="7"/>
  <c r="G53" i="7"/>
  <c r="J53" i="7"/>
  <c r="Q53" i="7"/>
  <c r="Q31" i="7"/>
  <c r="M53" i="7"/>
  <c r="I53" i="7"/>
  <c r="F53" i="7"/>
  <c r="K53" i="7"/>
  <c r="R31" i="7"/>
  <c r="R53" i="7"/>
  <c r="S24" i="7"/>
  <c r="S28" i="7" s="1"/>
  <c r="F29" i="2"/>
  <c r="E11" i="17" s="1"/>
  <c r="E37" i="17" l="1"/>
  <c r="E38" i="17" s="1"/>
  <c r="E51" i="17"/>
  <c r="E31" i="17"/>
  <c r="O33" i="7"/>
  <c r="O13" i="12" s="1"/>
  <c r="N33" i="7"/>
  <c r="N13" i="12" s="1"/>
  <c r="Q33" i="7"/>
  <c r="Q13" i="12" s="1"/>
  <c r="P33" i="7"/>
  <c r="P13" i="12" s="1"/>
  <c r="R33" i="7"/>
  <c r="R13" i="12" s="1"/>
  <c r="E13" i="16"/>
  <c r="K23" i="4"/>
  <c r="K25" i="4" s="1"/>
  <c r="L25" i="4" s="1"/>
  <c r="E9" i="6"/>
  <c r="E11" i="7"/>
  <c r="S19" i="7"/>
  <c r="S31" i="7" s="1"/>
  <c r="T19" i="7"/>
  <c r="T24" i="7"/>
  <c r="T28" i="7" s="1"/>
  <c r="E40" i="17" l="1"/>
  <c r="E39" i="7"/>
  <c r="E30" i="7"/>
  <c r="E36" i="7"/>
  <c r="E50" i="7"/>
  <c r="R34" i="7"/>
  <c r="R36" i="7" s="1"/>
  <c r="R30" i="7"/>
  <c r="O34" i="7"/>
  <c r="O36" i="7" s="1"/>
  <c r="O30" i="7"/>
  <c r="P34" i="7"/>
  <c r="P36" i="7" s="1"/>
  <c r="P30" i="7"/>
  <c r="N34" i="7"/>
  <c r="N36" i="7" s="1"/>
  <c r="N30" i="7"/>
  <c r="Q34" i="7"/>
  <c r="Q36" i="7" s="1"/>
  <c r="Q30" i="7"/>
  <c r="S33" i="7"/>
  <c r="S13" i="12" s="1"/>
  <c r="T31" i="7"/>
  <c r="T53" i="7"/>
  <c r="S53" i="7"/>
  <c r="U24" i="7"/>
  <c r="U28" i="7" s="1"/>
  <c r="T54" i="7" l="1"/>
  <c r="Q40" i="7"/>
  <c r="S54" i="7"/>
  <c r="P40" i="7"/>
  <c r="R40" i="7"/>
  <c r="N40" i="7"/>
  <c r="O40" i="7"/>
  <c r="E40" i="7"/>
  <c r="E41" i="7" s="1"/>
  <c r="E37" i="7"/>
  <c r="R54" i="7"/>
  <c r="M54" i="7"/>
  <c r="K54" i="7"/>
  <c r="F54" i="7"/>
  <c r="F55" i="7" s="1"/>
  <c r="I54" i="7"/>
  <c r="G54" i="7"/>
  <c r="H54" i="7"/>
  <c r="Q54" i="7"/>
  <c r="J54" i="7"/>
  <c r="L54" i="7"/>
  <c r="P54" i="7"/>
  <c r="O54" i="7"/>
  <c r="N54" i="7"/>
  <c r="E51" i="7"/>
  <c r="E52" i="7" s="1"/>
  <c r="E41" i="17"/>
  <c r="E42" i="17" s="1"/>
  <c r="E52" i="17"/>
  <c r="E53" i="17" s="1"/>
  <c r="E60" i="17" s="1"/>
  <c r="L55" i="17"/>
  <c r="N55" i="17"/>
  <c r="I55" i="17"/>
  <c r="K55" i="17"/>
  <c r="J55" i="17"/>
  <c r="G55" i="17"/>
  <c r="H55" i="17"/>
  <c r="F55" i="17"/>
  <c r="F56" i="17" s="1"/>
  <c r="O55" i="17"/>
  <c r="M55" i="17"/>
  <c r="N41" i="17"/>
  <c r="N52" i="17"/>
  <c r="O52" i="17"/>
  <c r="O41" i="17"/>
  <c r="P55" i="17"/>
  <c r="R55" i="17"/>
  <c r="Q52" i="17"/>
  <c r="P52" i="17"/>
  <c r="P41" i="17"/>
  <c r="Q55" i="17"/>
  <c r="R52" i="17"/>
  <c r="S52" i="17"/>
  <c r="R41" i="17"/>
  <c r="S55" i="17"/>
  <c r="S41" i="17"/>
  <c r="T55" i="17"/>
  <c r="T52" i="17"/>
  <c r="Q41" i="17"/>
  <c r="V55" i="17"/>
  <c r="U55" i="17"/>
  <c r="U52" i="17"/>
  <c r="X55" i="17"/>
  <c r="T41" i="17"/>
  <c r="V52" i="17"/>
  <c r="V41" i="17"/>
  <c r="W55" i="17"/>
  <c r="W52" i="17"/>
  <c r="U41" i="17"/>
  <c r="X52" i="17"/>
  <c r="W41" i="17"/>
  <c r="X41" i="17"/>
  <c r="Y55" i="17"/>
  <c r="Y52" i="17"/>
  <c r="Y41" i="17"/>
  <c r="S34" i="7"/>
  <c r="S36" i="7" s="1"/>
  <c r="S40" i="7" s="1"/>
  <c r="S30" i="7"/>
  <c r="T33" i="7"/>
  <c r="T13" i="12" s="1"/>
  <c r="U19" i="7"/>
  <c r="E16" i="6"/>
  <c r="E59" i="7"/>
  <c r="V19" i="7"/>
  <c r="V24" i="7"/>
  <c r="V28" i="7" s="1"/>
  <c r="F61" i="17" l="1"/>
  <c r="G56" i="17"/>
  <c r="F60" i="7"/>
  <c r="G55" i="7"/>
  <c r="T34" i="7"/>
  <c r="T36" i="7" s="1"/>
  <c r="T40" i="7" s="1"/>
  <c r="T30" i="7"/>
  <c r="V53" i="7"/>
  <c r="V54" i="7" s="1"/>
  <c r="V31" i="7"/>
  <c r="U53" i="7"/>
  <c r="U54" i="7" s="1"/>
  <c r="U31" i="7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F23" i="17" s="1"/>
  <c r="E22" i="6"/>
  <c r="E17" i="6"/>
  <c r="E18" i="6"/>
  <c r="E19" i="6"/>
  <c r="E21" i="6"/>
  <c r="E23" i="6"/>
  <c r="E20" i="6"/>
  <c r="W24" i="7"/>
  <c r="W28" i="7" s="1"/>
  <c r="G61" i="17" l="1"/>
  <c r="H56" i="17"/>
  <c r="F29" i="17"/>
  <c r="H55" i="7"/>
  <c r="G60" i="7"/>
  <c r="U33" i="7"/>
  <c r="U13" i="12" s="1"/>
  <c r="V33" i="7"/>
  <c r="F22" i="7"/>
  <c r="W19" i="7"/>
  <c r="C14" i="6"/>
  <c r="D14" i="6" s="1"/>
  <c r="G23" i="17" s="1"/>
  <c r="X24" i="7"/>
  <c r="X28" i="7" s="1"/>
  <c r="V30" i="7" l="1"/>
  <c r="V13" i="12"/>
  <c r="F51" i="17"/>
  <c r="F52" i="17" s="1"/>
  <c r="F53" i="17" s="1"/>
  <c r="F32" i="17"/>
  <c r="H61" i="17"/>
  <c r="I56" i="17"/>
  <c r="G29" i="17"/>
  <c r="H60" i="7"/>
  <c r="I55" i="7"/>
  <c r="U34" i="7"/>
  <c r="U36" i="7" s="1"/>
  <c r="U40" i="7" s="1"/>
  <c r="U30" i="7"/>
  <c r="V34" i="7"/>
  <c r="V36" i="7" s="1"/>
  <c r="V40" i="7" s="1"/>
  <c r="W53" i="7"/>
  <c r="W54" i="7" s="1"/>
  <c r="W31" i="7"/>
  <c r="F28" i="7"/>
  <c r="G22" i="7"/>
  <c r="C15" i="6"/>
  <c r="D15" i="6" s="1"/>
  <c r="H23" i="17" s="1"/>
  <c r="X19" i="7"/>
  <c r="Y24" i="7"/>
  <c r="Y28" i="7" s="1"/>
  <c r="H29" i="17" l="1"/>
  <c r="G51" i="17"/>
  <c r="G52" i="17" s="1"/>
  <c r="G53" i="17" s="1"/>
  <c r="G32" i="17"/>
  <c r="F34" i="17"/>
  <c r="F31" i="17" s="1"/>
  <c r="J55" i="7"/>
  <c r="I60" i="7"/>
  <c r="I61" i="17"/>
  <c r="J56" i="17"/>
  <c r="F60" i="17"/>
  <c r="F57" i="17"/>
  <c r="F31" i="7"/>
  <c r="F33" i="7" s="1"/>
  <c r="F34" i="7" s="1"/>
  <c r="F36" i="7" s="1"/>
  <c r="X53" i="7"/>
  <c r="X54" i="7" s="1"/>
  <c r="X31" i="7"/>
  <c r="W33" i="7"/>
  <c r="W13" i="12" s="1"/>
  <c r="F50" i="7"/>
  <c r="G28" i="7"/>
  <c r="C16" i="6"/>
  <c r="D16" i="6" s="1"/>
  <c r="I23" i="17" s="1"/>
  <c r="H22" i="7"/>
  <c r="Y19" i="7"/>
  <c r="Y31" i="7" s="1"/>
  <c r="F13" i="12" l="1"/>
  <c r="G60" i="17"/>
  <c r="G57" i="17"/>
  <c r="F40" i="7"/>
  <c r="F41" i="7" s="1"/>
  <c r="F37" i="7"/>
  <c r="J61" i="17"/>
  <c r="K56" i="17"/>
  <c r="K55" i="7"/>
  <c r="J60" i="7"/>
  <c r="F51" i="7"/>
  <c r="F52" i="7" s="1"/>
  <c r="F35" i="17"/>
  <c r="F37" i="17" s="1"/>
  <c r="H51" i="17"/>
  <c r="H52" i="17" s="1"/>
  <c r="H53" i="17" s="1"/>
  <c r="H32" i="17"/>
  <c r="I29" i="17"/>
  <c r="G34" i="17"/>
  <c r="G31" i="17" s="1"/>
  <c r="W34" i="7"/>
  <c r="W36" i="7" s="1"/>
  <c r="W40" i="7" s="1"/>
  <c r="W30" i="7"/>
  <c r="F30" i="7"/>
  <c r="G31" i="7"/>
  <c r="X33" i="7"/>
  <c r="X13" i="12" s="1"/>
  <c r="Y33" i="7"/>
  <c r="G50" i="7"/>
  <c r="H28" i="7"/>
  <c r="C17" i="6"/>
  <c r="D17" i="6" s="1"/>
  <c r="I22" i="7"/>
  <c r="Y53" i="7"/>
  <c r="Y54" i="7" s="1"/>
  <c r="C18" i="6" l="1"/>
  <c r="D18" i="6" s="1"/>
  <c r="K23" i="17" s="1"/>
  <c r="Y30" i="7"/>
  <c r="Y13" i="12"/>
  <c r="Y14" i="12" s="1"/>
  <c r="H60" i="17"/>
  <c r="H57" i="17"/>
  <c r="I51" i="17"/>
  <c r="I52" i="17" s="1"/>
  <c r="I53" i="17" s="1"/>
  <c r="I32" i="17"/>
  <c r="F41" i="17"/>
  <c r="F42" i="17" s="1"/>
  <c r="F38" i="17"/>
  <c r="G51" i="7"/>
  <c r="G52" i="7" s="1"/>
  <c r="H34" i="17"/>
  <c r="H31" i="17" s="1"/>
  <c r="K60" i="7"/>
  <c r="L55" i="7"/>
  <c r="J23" i="17"/>
  <c r="G35" i="17"/>
  <c r="G37" i="17" s="1"/>
  <c r="G41" i="17" s="1"/>
  <c r="K61" i="17"/>
  <c r="L56" i="17"/>
  <c r="F56" i="7"/>
  <c r="F59" i="7"/>
  <c r="Y34" i="7"/>
  <c r="Y36" i="7" s="1"/>
  <c r="Y40" i="7" s="1"/>
  <c r="H31" i="7"/>
  <c r="H33" i="7" s="1"/>
  <c r="H13" i="12" s="1"/>
  <c r="H14" i="12" s="1"/>
  <c r="X34" i="7"/>
  <c r="X36" i="7" s="1"/>
  <c r="X40" i="7" s="1"/>
  <c r="X30" i="7"/>
  <c r="G33" i="7"/>
  <c r="G13" i="12" s="1"/>
  <c r="G14" i="12" s="1"/>
  <c r="H50" i="7"/>
  <c r="I28" i="7"/>
  <c r="J22" i="7"/>
  <c r="C19" i="6" l="1"/>
  <c r="D19" i="6" s="1"/>
  <c r="L23" i="17" s="1"/>
  <c r="L29" i="17" s="1"/>
  <c r="K22" i="7"/>
  <c r="K28" i="7" s="1"/>
  <c r="K29" i="17"/>
  <c r="G38" i="17"/>
  <c r="H35" i="17"/>
  <c r="H37" i="17" s="1"/>
  <c r="H41" i="17" s="1"/>
  <c r="G42" i="17"/>
  <c r="I60" i="17"/>
  <c r="I57" i="17"/>
  <c r="H51" i="7"/>
  <c r="H52" i="7" s="1"/>
  <c r="J29" i="17"/>
  <c r="I34" i="17"/>
  <c r="I31" i="17" s="1"/>
  <c r="M55" i="7"/>
  <c r="L60" i="7"/>
  <c r="G59" i="7"/>
  <c r="L61" i="17"/>
  <c r="M56" i="17"/>
  <c r="G56" i="7"/>
  <c r="H34" i="7"/>
  <c r="H36" i="7" s="1"/>
  <c r="H40" i="7" s="1"/>
  <c r="H30" i="7"/>
  <c r="G34" i="7"/>
  <c r="G36" i="7" s="1"/>
  <c r="G30" i="7"/>
  <c r="I31" i="7"/>
  <c r="I50" i="7"/>
  <c r="J28" i="7"/>
  <c r="C20" i="6" l="1"/>
  <c r="D20" i="6" s="1"/>
  <c r="M23" i="17" s="1"/>
  <c r="M29" i="17" s="1"/>
  <c r="L22" i="7"/>
  <c r="K32" i="17"/>
  <c r="K34" i="17" s="1"/>
  <c r="K31" i="17" s="1"/>
  <c r="K51" i="17"/>
  <c r="K52" i="17" s="1"/>
  <c r="H42" i="17"/>
  <c r="H56" i="7"/>
  <c r="H59" i="7"/>
  <c r="H38" i="17"/>
  <c r="I35" i="17"/>
  <c r="I37" i="17" s="1"/>
  <c r="I41" i="17" s="1"/>
  <c r="I42" i="17" s="1"/>
  <c r="J51" i="17"/>
  <c r="J52" i="17" s="1"/>
  <c r="J53" i="17" s="1"/>
  <c r="J32" i="17"/>
  <c r="M61" i="17"/>
  <c r="N56" i="17"/>
  <c r="L51" i="17"/>
  <c r="L52" i="17" s="1"/>
  <c r="L32" i="17"/>
  <c r="I51" i="7"/>
  <c r="I52" i="7" s="1"/>
  <c r="M60" i="7"/>
  <c r="N55" i="7"/>
  <c r="G40" i="7"/>
  <c r="G41" i="7" s="1"/>
  <c r="G37" i="7"/>
  <c r="K31" i="7"/>
  <c r="K33" i="7" s="1"/>
  <c r="K34" i="7" s="1"/>
  <c r="K36" i="7" s="1"/>
  <c r="K40" i="7" s="1"/>
  <c r="J31" i="7"/>
  <c r="J33" i="7" s="1"/>
  <c r="J13" i="12" s="1"/>
  <c r="J14" i="12" s="1"/>
  <c r="I33" i="7"/>
  <c r="K50" i="7"/>
  <c r="K51" i="7" s="1"/>
  <c r="J50" i="7"/>
  <c r="L28" i="7"/>
  <c r="C21" i="6"/>
  <c r="D21" i="6" s="1"/>
  <c r="H37" i="7" l="1"/>
  <c r="H41" i="7"/>
  <c r="M22" i="7"/>
  <c r="M28" i="7" s="1"/>
  <c r="K35" i="17"/>
  <c r="K37" i="17" s="1"/>
  <c r="K41" i="17" s="1"/>
  <c r="K13" i="12"/>
  <c r="K14" i="12" s="1"/>
  <c r="I30" i="7"/>
  <c r="I13" i="12"/>
  <c r="I14" i="12" s="1"/>
  <c r="I38" i="17"/>
  <c r="I59" i="7"/>
  <c r="I56" i="7"/>
  <c r="M51" i="17"/>
  <c r="M52" i="17" s="1"/>
  <c r="M32" i="17"/>
  <c r="L34" i="17"/>
  <c r="L31" i="17" s="1"/>
  <c r="N61" i="17"/>
  <c r="O56" i="17"/>
  <c r="J34" i="17"/>
  <c r="J31" i="17" s="1"/>
  <c r="J51" i="7"/>
  <c r="J52" i="7" s="1"/>
  <c r="N60" i="7"/>
  <c r="O55" i="7"/>
  <c r="K53" i="17"/>
  <c r="J60" i="17"/>
  <c r="J57" i="17"/>
  <c r="J34" i="7"/>
  <c r="J36" i="7" s="1"/>
  <c r="J40" i="7" s="1"/>
  <c r="J30" i="7"/>
  <c r="I34" i="7"/>
  <c r="I36" i="7" s="1"/>
  <c r="K30" i="7"/>
  <c r="L31" i="7"/>
  <c r="L33" i="7" s="1"/>
  <c r="L13" i="12" s="1"/>
  <c r="L14" i="12" s="1"/>
  <c r="L50" i="7"/>
  <c r="L51" i="7" s="1"/>
  <c r="C22" i="6"/>
  <c r="D22" i="6" s="1"/>
  <c r="I37" i="7" l="1"/>
  <c r="J37" i="7" s="1"/>
  <c r="K37" i="7" s="1"/>
  <c r="L35" i="17"/>
  <c r="L37" i="17" s="1"/>
  <c r="L41" i="17" s="1"/>
  <c r="K52" i="7"/>
  <c r="K59" i="7" s="1"/>
  <c r="J56" i="7"/>
  <c r="J59" i="7"/>
  <c r="O61" i="17"/>
  <c r="P56" i="17"/>
  <c r="L53" i="17"/>
  <c r="K60" i="17"/>
  <c r="K57" i="17"/>
  <c r="P55" i="7"/>
  <c r="O60" i="7"/>
  <c r="M34" i="17"/>
  <c r="M31" i="17" s="1"/>
  <c r="E46" i="17" s="1" a="1"/>
  <c r="E46" i="17" s="1"/>
  <c r="I40" i="7"/>
  <c r="I41" i="7" s="1"/>
  <c r="J35" i="17"/>
  <c r="J37" i="17" s="1"/>
  <c r="L34" i="7"/>
  <c r="L36" i="7" s="1"/>
  <c r="L40" i="7" s="1"/>
  <c r="L30" i="7"/>
  <c r="M31" i="7"/>
  <c r="M33" i="7" s="1"/>
  <c r="M13" i="12" s="1"/>
  <c r="M14" i="12" s="1"/>
  <c r="M50" i="7"/>
  <c r="M51" i="7" s="1"/>
  <c r="N14" i="12"/>
  <c r="N50" i="7"/>
  <c r="N51" i="7" s="1"/>
  <c r="C23" i="6"/>
  <c r="J41" i="7" l="1"/>
  <c r="K41" i="7" s="1"/>
  <c r="L41" i="7" s="1"/>
  <c r="Q55" i="7"/>
  <c r="P60" i="7"/>
  <c r="M53" i="17"/>
  <c r="L60" i="17"/>
  <c r="L57" i="17"/>
  <c r="J41" i="17"/>
  <c r="J42" i="17" s="1"/>
  <c r="K42" i="17" s="1"/>
  <c r="L42" i="17" s="1"/>
  <c r="J38" i="17"/>
  <c r="K38" i="17" s="1"/>
  <c r="L38" i="17" s="1"/>
  <c r="L37" i="7"/>
  <c r="P61" i="17"/>
  <c r="Q56" i="17"/>
  <c r="M35" i="17"/>
  <c r="M37" i="17" s="1"/>
  <c r="M41" i="17" s="1"/>
  <c r="L52" i="7"/>
  <c r="L59" i="7" s="1"/>
  <c r="K56" i="7"/>
  <c r="M34" i="7"/>
  <c r="M36" i="7" s="1"/>
  <c r="M30" i="7"/>
  <c r="E45" i="7" s="1" a="1"/>
  <c r="E45" i="7" s="1"/>
  <c r="O14" i="12"/>
  <c r="O50" i="7"/>
  <c r="O51" i="7" s="1"/>
  <c r="D23" i="6"/>
  <c r="M40" i="7" l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E44" i="7"/>
  <c r="E45" i="17"/>
  <c r="N53" i="17"/>
  <c r="M60" i="17"/>
  <c r="M57" i="17"/>
  <c r="E43" i="7"/>
  <c r="E15" i="16" s="1"/>
  <c r="M37" i="7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E46" i="7" s="1" a="1"/>
  <c r="E46" i="7" s="1"/>
  <c r="M42" i="17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E48" i="17" s="1" a="1"/>
  <c r="E48" i="17" s="1"/>
  <c r="Q61" i="17"/>
  <c r="R56" i="17"/>
  <c r="M38" i="17"/>
  <c r="N38" i="17" s="1"/>
  <c r="O38" i="17" s="1"/>
  <c r="P38" i="17" s="1"/>
  <c r="Q38" i="17" s="1"/>
  <c r="R38" i="17" s="1"/>
  <c r="S38" i="17" s="1"/>
  <c r="T38" i="17" s="1"/>
  <c r="U38" i="17" s="1"/>
  <c r="V38" i="17" s="1"/>
  <c r="W38" i="17" s="1"/>
  <c r="X38" i="17" s="1"/>
  <c r="Y38" i="17" s="1"/>
  <c r="E47" i="17" s="1" a="1"/>
  <c r="E47" i="17" s="1"/>
  <c r="R55" i="7"/>
  <c r="S55" i="7" s="1"/>
  <c r="Q60" i="7"/>
  <c r="M52" i="7"/>
  <c r="L56" i="7"/>
  <c r="E44" i="17"/>
  <c r="E17" i="16" s="1"/>
  <c r="C24" i="6"/>
  <c r="E47" i="7" l="1" a="1"/>
  <c r="E47" i="7" s="1"/>
  <c r="E18" i="16"/>
  <c r="E16" i="16"/>
  <c r="R60" i="7"/>
  <c r="B38" i="13"/>
  <c r="C38" i="13"/>
  <c r="E38" i="13"/>
  <c r="D38" i="13"/>
  <c r="N52" i="7"/>
  <c r="M59" i="7"/>
  <c r="M56" i="7"/>
  <c r="R61" i="17"/>
  <c r="S56" i="17"/>
  <c r="O53" i="17"/>
  <c r="N60" i="17"/>
  <c r="N57" i="17"/>
  <c r="T55" i="7"/>
  <c r="S60" i="7"/>
  <c r="P14" i="12"/>
  <c r="D24" i="6"/>
  <c r="P50" i="7"/>
  <c r="P51" i="7" s="1"/>
  <c r="P53" i="17" l="1"/>
  <c r="O60" i="17"/>
  <c r="O57" i="17"/>
  <c r="T60" i="7"/>
  <c r="U55" i="7"/>
  <c r="S61" i="17"/>
  <c r="T56" i="17"/>
  <c r="O52" i="7"/>
  <c r="N56" i="7"/>
  <c r="N59" i="7"/>
  <c r="C25" i="6"/>
  <c r="D25" i="6" s="1"/>
  <c r="T61" i="17" l="1"/>
  <c r="U56" i="17"/>
  <c r="P52" i="7"/>
  <c r="O59" i="7"/>
  <c r="O56" i="7"/>
  <c r="V55" i="7"/>
  <c r="U60" i="7"/>
  <c r="Q53" i="17"/>
  <c r="P60" i="17"/>
  <c r="P57" i="17"/>
  <c r="Q50" i="7"/>
  <c r="Q14" i="12"/>
  <c r="C26" i="6"/>
  <c r="D26" i="6"/>
  <c r="Q51" i="7" l="1"/>
  <c r="Q52" i="7" s="1"/>
  <c r="P56" i="7"/>
  <c r="P59" i="7"/>
  <c r="V60" i="7"/>
  <c r="W55" i="7"/>
  <c r="U61" i="17"/>
  <c r="V56" i="17"/>
  <c r="R53" i="17"/>
  <c r="Q60" i="17"/>
  <c r="Q57" i="17"/>
  <c r="R14" i="12"/>
  <c r="R50" i="7"/>
  <c r="C27" i="6"/>
  <c r="D27" i="6" s="1"/>
  <c r="R51" i="7" l="1"/>
  <c r="R52" i="7" s="1"/>
  <c r="S53" i="17"/>
  <c r="R60" i="17"/>
  <c r="R57" i="17"/>
  <c r="W60" i="7"/>
  <c r="X55" i="7"/>
  <c r="Q56" i="7"/>
  <c r="V61" i="17"/>
  <c r="W56" i="17"/>
  <c r="Q59" i="7"/>
  <c r="S14" i="12"/>
  <c r="C28" i="6"/>
  <c r="S50" i="7"/>
  <c r="S51" i="7" s="1"/>
  <c r="S52" i="7" l="1"/>
  <c r="S56" i="7" s="1"/>
  <c r="W61" i="17"/>
  <c r="X56" i="17"/>
  <c r="Y55" i="7"/>
  <c r="Y60" i="7" s="1"/>
  <c r="X60" i="7"/>
  <c r="T53" i="17"/>
  <c r="S60" i="17"/>
  <c r="S57" i="17"/>
  <c r="R59" i="7"/>
  <c r="R56" i="7"/>
  <c r="T14" i="12"/>
  <c r="D28" i="6"/>
  <c r="T50" i="7"/>
  <c r="T51" i="7" s="1"/>
  <c r="S59" i="7" l="1"/>
  <c r="T52" i="7"/>
  <c r="T59" i="7" s="1"/>
  <c r="U53" i="17"/>
  <c r="T60" i="17"/>
  <c r="T57" i="17"/>
  <c r="X61" i="17"/>
  <c r="Y56" i="17"/>
  <c r="C29" i="6"/>
  <c r="T56" i="7" l="1"/>
  <c r="Y61" i="17"/>
  <c r="V53" i="17"/>
  <c r="U60" i="17"/>
  <c r="U57" i="17"/>
  <c r="U14" i="12"/>
  <c r="U50" i="7"/>
  <c r="D29" i="6"/>
  <c r="W53" i="17" l="1"/>
  <c r="V60" i="17"/>
  <c r="V57" i="17"/>
  <c r="U51" i="7"/>
  <c r="U52" i="7" s="1"/>
  <c r="U56" i="7" s="1"/>
  <c r="C30" i="6"/>
  <c r="D30" i="6" s="1"/>
  <c r="U59" i="7" l="1"/>
  <c r="X53" i="17"/>
  <c r="W60" i="17"/>
  <c r="W57" i="17"/>
  <c r="V14" i="12"/>
  <c r="V50" i="7"/>
  <c r="V51" i="7" s="1"/>
  <c r="V52" i="7" s="1"/>
  <c r="C31" i="6"/>
  <c r="D31" i="6" s="1"/>
  <c r="Y53" i="17" l="1"/>
  <c r="X60" i="17"/>
  <c r="X57" i="17"/>
  <c r="W14" i="12"/>
  <c r="W50" i="7"/>
  <c r="W51" i="7" s="1"/>
  <c r="W52" i="7" s="1"/>
  <c r="V56" i="7"/>
  <c r="V59" i="7"/>
  <c r="C32" i="6"/>
  <c r="D32" i="6" s="1"/>
  <c r="Y60" i="17" l="1"/>
  <c r="Y57" i="17"/>
  <c r="X14" i="12"/>
  <c r="W56" i="7"/>
  <c r="X50" i="7"/>
  <c r="X51" i="7" s="1"/>
  <c r="X52" i="7" s="1"/>
  <c r="W59" i="7"/>
  <c r="X56" i="7" l="1"/>
  <c r="X59" i="7"/>
  <c r="Y50" i="7"/>
  <c r="Y51" i="7" l="1"/>
  <c r="Y52" i="7" s="1"/>
  <c r="Y56" i="7" s="1"/>
  <c r="Y59" i="7" l="1"/>
  <c r="F14" i="12"/>
  <c r="E19" i="12" s="1"/>
  <c r="E20" i="12" l="1"/>
  <c r="E14" i="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<sst xmlns="http://schemas.openxmlformats.org/spreadsheetml/2006/main" count="361" uniqueCount="215">
  <si>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</si>
  <si>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</si>
  <si>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</si>
  <si>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</si>
  <si>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</si>
  <si>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</si>
  <si>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</si>
  <si>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</si>
  <si>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</si>
  <si>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</si>
  <si>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</si>
  <si>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</si>
  <si>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</si>
  <si>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</si>
  <si>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</si>
  <si>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</si>
  <si>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</si>
  <si>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</si>
  <si>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</si>
  <si>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</si>
  <si>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</si>
  <si>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</si>
  <si>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</si>
  <si>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</si>
  <si>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</si>
  <si>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</si>
  <si>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</si>
  <si>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</si>
  <si>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</si>
  <si>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</si>
  <si>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</si>
  <si>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</si>
  <si>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</si>
  <si>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</si>
  <si>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</si>
  <si>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</si>
  <si>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</si>
  <si>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</si>
  <si>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</si>
  <si>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</si>
  <si>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</si>
  <si>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</si>
  <si>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</si>
  <si>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</si>
  <si>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</si>
  <si>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</si>
  <si>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</si>
  <si>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</si>
  <si>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</si>
  <si>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</si>
  <si>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</si>
  <si>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</si>
  <si>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Nabavka opreme i materijala</t>
  </si>
  <si>
    <t>Mašinsko-montažni radovi</t>
  </si>
  <si>
    <t>Građevinski radovi</t>
  </si>
  <si>
    <t>Povezivanje signalnih kablova</t>
  </si>
  <si>
    <t>Ispitivanje na nepropusnost i čvrstoću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</si>
  <si>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</si>
  <si>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</si>
  <si>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</si>
  <si>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</si>
  <si>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</si>
  <si>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</si>
  <si>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</si>
  <si>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</si>
  <si>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</si>
  <si>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</si>
  <si>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</si>
  <si>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</si>
  <si>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</si>
  <si>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Prosečan prečnik</t>
  </si>
  <si>
    <t>W/m</t>
  </si>
  <si>
    <t>DN50</t>
  </si>
  <si>
    <t>DN65</t>
  </si>
  <si>
    <t>DN80</t>
  </si>
  <si>
    <t>DN100</t>
  </si>
  <si>
    <t>DN125</t>
  </si>
  <si>
    <t>DN150</t>
  </si>
  <si>
    <t>DN200</t>
  </si>
  <si>
    <t>DN250</t>
  </si>
  <si>
    <t>DN300</t>
  </si>
  <si>
    <t>DN350</t>
  </si>
  <si>
    <t>DN400</t>
  </si>
  <si>
    <t>ENERGIJA I TROŠKOVI ENERGIJE</t>
  </si>
  <si>
    <t>Proizvodna cena toplote</t>
  </si>
  <si>
    <t>Gubici vode, pre projekta</t>
  </si>
  <si>
    <t>Gubici vode, posle projekta</t>
  </si>
  <si>
    <t>Prosečna temperatura u distributivnoj mreži</t>
  </si>
  <si>
    <t>Temperatura sirove vode</t>
  </si>
  <si>
    <t>Prosečan prečnik sekcije koja se rekonstruiše</t>
  </si>
  <si>
    <t>Dužina sekcije (trase)</t>
  </si>
  <si>
    <t>Stepen oštećenja termičke izolacije</t>
  </si>
  <si>
    <t>Ušteda energije</t>
  </si>
  <si>
    <t>Ušteda u novcu</t>
  </si>
  <si>
    <t>RSD/MWh</t>
  </si>
  <si>
    <t>t/a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</si>
  <si>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</si>
  <si>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-</t>
  </si>
  <si>
    <t>m</t>
  </si>
  <si>
    <t>Prema metodologiji</t>
  </si>
  <si>
    <t>Prema izveštaju tehničkog sektora</t>
  </si>
  <si>
    <t>Cena vode</t>
  </si>
  <si>
    <r>
      <t>RSD/m</t>
    </r>
    <r>
      <rPr>
        <vertAlign val="superscript"/>
        <sz val="11"/>
        <color theme="1"/>
        <rFont val="Calibri"/>
        <family val="2"/>
        <scheme val="minor"/>
      </rPr>
      <t>3</t>
    </r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</si>
  <si>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</si>
  <si>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</si>
  <si>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</si>
  <si>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</si>
  <si>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</si>
  <si>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</si>
  <si>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</si>
  <si>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</si>
  <si>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</si>
  <si>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</si>
  <si>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</si>
  <si>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</si>
  <si>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</si>
  <si>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</si>
  <si>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</si>
  <si>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</si>
  <si>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</si>
  <si>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</si>
  <si>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</si>
  <si>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</si>
  <si>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</si>
  <si>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</si>
  <si>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</si>
  <si>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t>Ušteda vode (t/a)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</si>
  <si>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</si>
  <si>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</si>
  <si>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</si>
  <si>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</si>
  <si>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</si>
  <si>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</si>
  <si>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</si>
  <si>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</si>
  <si>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</si>
  <si>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</si>
  <si>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</si>
  <si>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NAZAD</t>
  </si>
  <si>
    <t>DALJE</t>
  </si>
  <si>
    <t>Udeo u uštedama ako gradi ESCO (EUR/a)</t>
  </si>
  <si>
    <t>ESCO INVESTICIJA</t>
  </si>
  <si>
    <t>N/A</t>
  </si>
  <si>
    <t>GRAFIK / CASH FLOW / FINANSIJSKI</t>
  </si>
  <si>
    <t>Udeo ako gradi ESCO (EUR/a)</t>
  </si>
  <si>
    <t>Diskontovana vrednost udela (EUR/a)</t>
  </si>
  <si>
    <t>REZIME PROJEKTA</t>
  </si>
  <si>
    <t>Projekat</t>
  </si>
  <si>
    <t>Investiciona vrednost (EUR)</t>
  </si>
  <si>
    <t>Subvencije (EUR)</t>
  </si>
  <si>
    <t>LCoE(EE) (EUR/MWh)</t>
  </si>
  <si>
    <t>Miks goriva</t>
  </si>
  <si>
    <t>Finansijska diskontna stopa</t>
  </si>
  <si>
    <t>Grantovi</t>
  </si>
  <si>
    <t>Kredit</t>
  </si>
  <si>
    <t>Sopstveni kapital</t>
  </si>
  <si>
    <t>Ukupno</t>
  </si>
  <si>
    <t>Prinos na sopstveni kapital</t>
  </si>
  <si>
    <t>Projekat “Bolja energija"</t>
  </si>
  <si>
    <t>Toplota iz DH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</si>
  <si>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</si>
  <si>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</si>
  <si>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</si>
  <si>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</si>
  <si>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</si>
  <si>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</si>
  <si>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</si>
  <si>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</si>
  <si>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</si>
  <si>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</si>
  <si>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</si>
  <si>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</si>
  <si>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</si>
  <si>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</si>
  <si>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</si>
  <si>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</si>
  <si>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</si>
  <si>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</si>
  <si>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</si>
  <si>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</si>
  <si>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</si>
  <si>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</si>
  <si>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</si>
  <si>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</si>
  <si>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</si>
  <si>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</si>
  <si>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</si>
  <si>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</si>
  <si>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</si>
  <si>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</si>
  <si>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NPV = 0</t>
  </si>
  <si>
    <t>Cena toplote</t>
  </si>
  <si>
    <t>Investicije</t>
  </si>
  <si>
    <t>Neosetljivo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</si>
  <si>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</si>
  <si>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</si>
  <si>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</si>
  <si>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</si>
  <si>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</si>
  <si>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</si>
  <si>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</si>
  <si>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</si>
  <si>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</si>
  <si>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</si>
  <si>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</si>
  <si>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</si>
  <si>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</si>
  <si>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</si>
  <si>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</si>
  <si>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</si>
  <si>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</si>
  <si>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</si>
  <si>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</si>
  <si>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r>
      <t>NPV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</si>
  <si>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</rPr>
      <t xml:space="preserve"> </t>
    </r>
    <r>
      <rPr>
        <sz val="11"/>
        <color theme="0"/>
        <rFont val="Calibri"/>
        <family val="2"/>
        <scheme val="minor"/>
      </rPr>
      <t>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</si>
</sst>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.00;[Red]\-&quot;$&quot;#,##0.00"/>
    <numFmt numFmtId="165" formatCode="#,##0.000"/>
    <numFmt numFmtId="166" formatCode="#,##0.00_ ;[Red]\-#,##0.00\ "/>
    <numFmt numFmtId="167" formatCode="#,##0_ ;[Red]\-#,##0\ "/>
    <numFmt numFmtId="168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91">
    <xf numFmtId="0" fontId="0" fillId="0" borderId="0" xfId="0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2" fillId="3" borderId="0" xfId="0" applyFont="1" applyFill="1"/>
    <xf numFmtId="0" fontId="2" fillId="4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5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7" borderId="0" xfId="0" applyFont="1" applyFill="1"/>
    <xf numFmtId="0" fontId="0" fillId="7" borderId="0" xfId="0" applyFill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4" fontId="0" fillId="2" borderId="0" xfId="0" applyNumberFormat="1" applyFill="1"/>
    <xf numFmtId="3" fontId="0" fillId="2" borderId="0" xfId="0" applyNumberFormat="1" applyFill="1"/>
    <xf numFmtId="2" fontId="0" fillId="2" borderId="0" xfId="0" applyNumberFormat="1" applyFill="1"/>
    <xf numFmtId="10" fontId="0" fillId="2" borderId="0" xfId="0" applyNumberFormat="1" applyFill="1"/>
    <xf numFmtId="0" fontId="0" fillId="2" borderId="0" xfId="0" applyFill="1" applyAlignment="1">
      <alignment horizontal="right"/>
    </xf>
    <xf numFmtId="4" fontId="0" fillId="8" borderId="0" xfId="0" applyNumberFormat="1" applyFill="1"/>
    <xf numFmtId="3" fontId="0" fillId="8" borderId="0" xfId="0" applyNumberFormat="1" applyFill="1"/>
    <xf numFmtId="0" fontId="11" fillId="0" borderId="0" xfId="0" applyFont="1"/>
    <xf numFmtId="4" fontId="11" fillId="0" borderId="0" xfId="0" applyNumberFormat="1" applyFont="1"/>
    <xf numFmtId="4" fontId="12" fillId="0" borderId="0" xfId="0" applyNumberFormat="1" applyFont="1" applyProtection="1">
      <protection locked="0"/>
    </xf>
    <xf numFmtId="0" fontId="0" fillId="6" borderId="0" xfId="0" applyFill="1"/>
    <xf numFmtId="4" fontId="0" fillId="6" borderId="0" xfId="0" applyNumberFormat="1" applyFill="1"/>
    <xf numFmtId="0" fontId="0" fillId="11" borderId="0" xfId="0" applyFill="1"/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6" fontId="0" fillId="11" borderId="0" xfId="0" applyNumberFormat="1" applyFill="1"/>
    <xf numFmtId="164" fontId="0" fillId="11" borderId="0" xfId="0" applyNumberFormat="1" applyFill="1"/>
    <xf numFmtId="10" fontId="0" fillId="11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7" fontId="0" fillId="0" borderId="0" xfId="0" applyNumberFormat="1"/>
    <xf numFmtId="10" fontId="0" fillId="0" borderId="0" xfId="2" applyNumberFormat="1" applyFont="1"/>
    <xf numFmtId="167" fontId="0" fillId="0" borderId="0" xfId="2" applyNumberFormat="1" applyFont="1"/>
    <xf numFmtId="10" fontId="0" fillId="0" borderId="0" xfId="2" applyNumberFormat="1" applyFont="1" applyAlignment="1">
      <alignment horizontal="center"/>
    </xf>
    <xf numFmtId="167" fontId="0" fillId="11" borderId="0" xfId="0" applyNumberFormat="1" applyFill="1"/>
    <xf numFmtId="0" fontId="1" fillId="5" borderId="0" xfId="0" applyFont="1" applyFill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5" borderId="0" xfId="0" applyFont="1" applyFill="1" applyProtection="1">
      <protection locked="0"/>
    </xf>
    <xf numFmtId="4" fontId="1" fillId="5" borderId="0" xfId="0" applyNumberFormat="1" applyFont="1" applyFill="1" applyProtection="1">
      <protection locked="0"/>
    </xf>
    <xf numFmtId="168" fontId="12" fillId="0" borderId="0" xfId="0" applyNumberFormat="1" applyFont="1"/>
    <xf numFmtId="4" fontId="1" fillId="5" borderId="0" xfId="0" applyNumberFormat="1" applyFont="1" applyFill="1"/>
    <xf numFmtId="2" fontId="1" fillId="5" borderId="0" xfId="0" applyNumberFormat="1" applyFont="1" applyFill="1"/>
    <xf numFmtId="0" fontId="19" fillId="0" borderId="0" xfId="0" applyFont="1"/>
    <xf numFmtId="2" fontId="0" fillId="0" borderId="0" xfId="0" applyNumberFormat="1"/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5" fillId="5" borderId="0" xfId="0" applyFont="1" applyFill="1" applyAlignment="1">
      <alignment horizontal="center" vertical="distributed"/>
    </xf>
    <xf numFmtId="0" fontId="3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center"/>
    </xf>
    <xf numFmtId="0" fontId="9" fillId="9" borderId="0" xfId="1" applyFont="1" applyFill="1" applyAlignment="1">
      <alignment horizontal="center" vertical="distributed"/>
    </xf>
    <xf numFmtId="0" fontId="9" fillId="10" borderId="0" xfId="1" applyFont="1" applyFill="1" applyAlignment="1">
      <alignment horizontal="center" vertical="distributed"/>
    </xf>
    <xf numFmtId="0" fontId="2" fillId="5" borderId="0" xfId="0" applyFont="1" applyFill="1" applyAlignment="1">
      <alignment horizontal="left" vertical="distributed"/>
    </xf>
    <xf numFmtId="0" fontId="3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2" fillId="3" borderId="0" xfId="0" applyFont="1" applyFill="1" applyAlignment="1">
      <alignment horizontal="justify" vertical="center"/>
    </xf>
    <xf numFmtId="0" fontId="2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0" fontId="9" fillId="9" borderId="0" xfId="1" applyFont="1" applyFill="1" applyAlignment="1">
      <alignment horizontal="center"/>
    </xf>
    <xf numFmtId="0" fontId="9" fillId="10" borderId="0" xfId="1" applyFont="1" applyFill="1" applyAlignment="1">
      <alignment horizontal="center"/>
    </xf>
    <xf numFmtId="0" fontId="3" fillId="5" borderId="0" xfId="0" applyFont="1" applyFill="1" applyAlignment="1" applyProtection="1">
      <alignment horizontal="center" vertical="distributed"/>
      <protection locked="0"/>
    </xf>
    <xf numFmtId="10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-147436.39075738483</c:v>
                </c:pt>
                <c:pt idx="2">
                  <c:v>-150605.65034629469</c:v>
                </c:pt>
                <c:pt idx="3">
                  <c:v>-153528.54446720105</c:v>
                </c:pt>
                <c:pt idx="4">
                  <c:v>-156224.22457870867</c:v>
                </c:pt>
                <c:pt idx="5">
                  <c:v>-158710.35338221263</c:v>
                </c:pt>
                <c:pt idx="6">
                  <c:v>-161003.22055188401</c:v>
                </c:pt>
                <c:pt idx="7">
                  <c:v>-163117.84946827299</c:v>
                </c:pt>
                <c:pt idx="8">
                  <c:v>-165068.09565487143</c:v>
                </c:pt>
                <c:pt idx="9">
                  <c:v>-158218.30609751336</c:v>
                </c:pt>
                <c:pt idx="10">
                  <c:v>-151900.99157499595</c:v>
                </c:pt>
                <c:pt idx="11">
                  <c:v>-146074.7596240392</c:v>
                </c:pt>
                <c:pt idx="12">
                  <c:v>-140701.43546464274</c:v>
                </c:pt>
                <c:pt idx="13">
                  <c:v>-135745.81187035507</c:v>
                </c:pt>
                <c:pt idx="14">
                  <c:v>-131175.41848262039</c:v>
                </c:pt>
                <c:pt idx="15">
                  <c:v>-126960.30905769815</c:v>
                </c:pt>
                <c:pt idx="16">
                  <c:v>-123072.86525214979</c:v>
                </c:pt>
                <c:pt idx="17">
                  <c:v>-119487.61566125101</c:v>
                </c:pt>
                <c:pt idx="18">
                  <c:v>-116181.06892462831</c:v>
                </c:pt>
                <c:pt idx="19">
                  <c:v>-113131.55980559115</c:v>
                </c:pt>
                <c:pt idx="20">
                  <c:v>-110319.1072356361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095-4ED2-8A03-1F7ADA6D6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02515712"/>
        <c:axId val="65810944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89000</c:v>
                </c:pt>
                <c:pt idx="1">
                  <c:v>167827.57002694748</c:v>
                </c:pt>
                <c:pt idx="2">
                  <c:v>189802.88078752987</c:v>
                </c:pt>
                <c:pt idx="3">
                  <c:v>210069.91945232125</c:v>
                </c:pt>
                <c:pt idx="4">
                  <c:v>228761.48020953819</c:v>
                </c:pt>
                <c:pt idx="5">
                  <c:v>246000.03436237937</c:v>
                </c:pt>
                <c:pt idx="6">
                  <c:v>261898.53278850461</c:v>
                </c:pt>
                <c:pt idx="7">
                  <c:v>276561.146019548</c:v>
                </c:pt>
                <c:pt idx="8">
                  <c:v>290083.9467898322</c:v>
                </c:pt>
                <c:pt idx="9">
                  <c:v>293907.10806139576</c:v>
                </c:pt>
                <c:pt idx="10">
                  <c:v>297433.0721834366</c:v>
                </c:pt>
                <c:pt idx="11">
                  <c:v>300684.94206462387</c:v>
                </c:pt>
                <c:pt idx="12">
                  <c:v>303684.02468661394</c:v>
                </c:pt>
                <c:pt idx="13">
                  <c:v>306449.97071217839</c:v>
                </c:pt>
                <c:pt idx="14">
                  <c:v>309000.90324075916</c:v>
                </c:pt>
                <c:pt idx="15">
                  <c:v>311353.53655508551</c:v>
                </c:pt>
                <c:pt idx="16">
                  <c:v>313523.28563690756</c:v>
                </c:pt>
                <c:pt idx="17">
                  <c:v>315524.3671694182</c:v>
                </c:pt>
                <c:pt idx="18">
                  <c:v>317369.89268815349</c:v>
                </c:pt>
                <c:pt idx="19">
                  <c:v>319071.95449071779</c:v>
                </c:pt>
                <c:pt idx="20">
                  <c:v>320641.70486823283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95-4ED2-8A03-1F7ADA6D6E91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20391.179269562646</c:v>
                </c:pt>
                <c:pt idx="2">
                  <c:v>39197.23044123518</c:v>
                </c:pt>
                <c:pt idx="3">
                  <c:v>56541.374985120186</c:v>
                </c:pt>
                <c:pt idx="4">
                  <c:v>72537.255630829517</c:v>
                </c:pt>
                <c:pt idx="5">
                  <c:v>87289.680980166755</c:v>
                </c:pt>
                <c:pt idx="6">
                  <c:v>100895.31223662061</c:v>
                </c:pt>
                <c:pt idx="7">
                  <c:v>113443.29655127502</c:v>
                </c:pt>
                <c:pt idx="8">
                  <c:v>125015.85113496079</c:v>
                </c:pt>
                <c:pt idx="9">
                  <c:v>135688.8019638824</c:v>
                </c:pt>
                <c:pt idx="10">
                  <c:v>145532.08060844065</c:v>
                </c:pt>
                <c:pt idx="11">
                  <c:v>154610.18244058467</c:v>
                </c:pt>
                <c:pt idx="12">
                  <c:v>162982.5892219712</c:v>
                </c:pt>
                <c:pt idx="13">
                  <c:v>170704.15884182332</c:v>
                </c:pt>
                <c:pt idx="14">
                  <c:v>177825.48475813877</c:v>
                </c:pt>
                <c:pt idx="15">
                  <c:v>184393.22749738736</c:v>
                </c:pt>
                <c:pt idx="16">
                  <c:v>190450.42038475777</c:v>
                </c:pt>
                <c:pt idx="17">
                  <c:v>196036.75150816719</c:v>
                </c:pt>
                <c:pt idx="18">
                  <c:v>201188.82376352517</c:v>
                </c:pt>
                <c:pt idx="19">
                  <c:v>205940.39468512664</c:v>
                </c:pt>
                <c:pt idx="20">
                  <c:v>210322.59763259673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095-4ED2-8A03-1F7ADA6D6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02515712"/>
        <c:axId val="65810944"/>
      </c:lineChart>
      <c:catAx>
        <c:axId val="102515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10944"/>
        <c:crosses val="autoZero"/>
        <c:auto val="1"/>
        <c:lblAlgn val="ctr"/>
        <c:lblOffset val="100"/>
        <c:noMultiLvlLbl val="0"/>
      </c:catAx>
      <c:valAx>
        <c:axId val="6581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15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'FinInd+CO2'!$A$57:$D$57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multiLvlStrRef>
              <c:f>#REF!</c:f>
            </c:multiLvlStr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-136876.53793832421</c:v>
                </c:pt>
                <c:pt idx="2">
                  <c:v>-130306.82510904669</c:v>
                </c:pt>
                <c:pt idx="3">
                  <c:v>-124247.81527850655</c:v>
                </c:pt>
                <c:pt idx="4">
                  <c:v>-118659.80845376695</c:v>
                </c:pt>
                <c:pt idx="5">
                  <c:v>-113506.19075934697</c:v>
                </c:pt>
                <c:pt idx="6">
                  <c:v>-108753.19453488788</c:v>
                </c:pt>
                <c:pt idx="7">
                  <c:v>-104369.67708186022</c:v>
                </c:pt>
                <c:pt idx="8">
                  <c:v>-100326.91660960994</c:v>
                </c:pt>
                <c:pt idx="9">
                  <c:v>-87949.992578635865</c:v>
                </c:pt>
                <c:pt idx="10">
                  <c:v>-76535.200741567474</c:v>
                </c:pt>
                <c:pt idx="11">
                  <c:v>-66007.748819141096</c:v>
                </c:pt>
                <c:pt idx="12">
                  <c:v>-56298.65858246258</c:v>
                </c:pt>
                <c:pt idx="13">
                  <c:v>-47344.313892162638</c:v>
                </c:pt>
                <c:pt idx="14">
                  <c:v>-39086.043871167116</c:v>
                </c:pt>
                <c:pt idx="15">
                  <c:v>-31469.738479935913</c:v>
                </c:pt>
                <c:pt idx="16">
                  <c:v>-24445.493975333928</c:v>
                </c:pt>
                <c:pt idx="17">
                  <c:v>-17967.285930100188</c:v>
                </c:pt>
                <c:pt idx="18">
                  <c:v>-11992.667670465831</c:v>
                </c:pt>
                <c:pt idx="19">
                  <c:v>-6482.4921560164075</c:v>
                </c:pt>
                <c:pt idx="20">
                  <c:v>-1400.6554794926778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0-4712-982F-58D63603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01264384"/>
        <c:axId val="65798720"/>
      </c:barChart>
      <c:lineChart>
        <c:grouping val="standard"/>
        <c:varyColors val="0"/>
        <c:ser>
          <c:idx val="0"/>
          <c:order val="0"/>
          <c:tx>
            <c:strRef>
              <c:f>'FinInd+CO2'!$A$60:$D$60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144000</c:v>
                </c:pt>
                <c:pt idx="1">
                  <c:v>167827.57002694748</c:v>
                </c:pt>
                <c:pt idx="2">
                  <c:v>189802.88078752987</c:v>
                </c:pt>
                <c:pt idx="3">
                  <c:v>210069.91945232125</c:v>
                </c:pt>
                <c:pt idx="4">
                  <c:v>228761.48020953819</c:v>
                </c:pt>
                <c:pt idx="5">
                  <c:v>246000.03436237937</c:v>
                </c:pt>
                <c:pt idx="6">
                  <c:v>261898.53278850461</c:v>
                </c:pt>
                <c:pt idx="7">
                  <c:v>276561.146019548</c:v>
                </c:pt>
                <c:pt idx="8">
                  <c:v>290083.9467898322</c:v>
                </c:pt>
                <c:pt idx="9">
                  <c:v>293907.10806139576</c:v>
                </c:pt>
                <c:pt idx="10">
                  <c:v>297433.0721834366</c:v>
                </c:pt>
                <c:pt idx="11">
                  <c:v>300684.94206462387</c:v>
                </c:pt>
                <c:pt idx="12">
                  <c:v>303684.02468661394</c:v>
                </c:pt>
                <c:pt idx="13">
                  <c:v>306449.97071217839</c:v>
                </c:pt>
                <c:pt idx="14">
                  <c:v>309000.90324075916</c:v>
                </c:pt>
                <c:pt idx="15">
                  <c:v>311353.53655508551</c:v>
                </c:pt>
                <c:pt idx="16">
                  <c:v>313523.28563690756</c:v>
                </c:pt>
                <c:pt idx="17">
                  <c:v>315524.3671694182</c:v>
                </c:pt>
                <c:pt idx="18">
                  <c:v>317369.89268815349</c:v>
                </c:pt>
                <c:pt idx="19">
                  <c:v>319071.95449071779</c:v>
                </c:pt>
                <c:pt idx="20">
                  <c:v>320641.70486823283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D00-4712-982F-58D636032D1A}"/>
            </c:ext>
          </c:extLst>
        </c:ser>
        <c:ser>
          <c:idx val="1"/>
          <c:order val="1"/>
          <c:tx>
            <c:strRef>
              <c:f>'FinInd+CO2'!$A$61:$D$61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20391.179269562646</c:v>
                </c:pt>
                <c:pt idx="2">
                  <c:v>39197.23044123518</c:v>
                </c:pt>
                <c:pt idx="3">
                  <c:v>56541.374985120186</c:v>
                </c:pt>
                <c:pt idx="4">
                  <c:v>72537.255630829517</c:v>
                </c:pt>
                <c:pt idx="5">
                  <c:v>87289.680980166755</c:v>
                </c:pt>
                <c:pt idx="6">
                  <c:v>100895.31223662061</c:v>
                </c:pt>
                <c:pt idx="7">
                  <c:v>113443.29655127502</c:v>
                </c:pt>
                <c:pt idx="8">
                  <c:v>125015.85113496079</c:v>
                </c:pt>
                <c:pt idx="9">
                  <c:v>135688.8019638824</c:v>
                </c:pt>
                <c:pt idx="10">
                  <c:v>145532.08060844065</c:v>
                </c:pt>
                <c:pt idx="11">
                  <c:v>154610.18244058467</c:v>
                </c:pt>
                <c:pt idx="12">
                  <c:v>162982.5892219712</c:v>
                </c:pt>
                <c:pt idx="13">
                  <c:v>170704.15884182332</c:v>
                </c:pt>
                <c:pt idx="14">
                  <c:v>177825.48475813877</c:v>
                </c:pt>
                <c:pt idx="15">
                  <c:v>184393.22749738736</c:v>
                </c:pt>
                <c:pt idx="16">
                  <c:v>190450.42038475777</c:v>
                </c:pt>
                <c:pt idx="17">
                  <c:v>196036.75150816719</c:v>
                </c:pt>
                <c:pt idx="18">
                  <c:v>201188.82376352517</c:v>
                </c:pt>
                <c:pt idx="19">
                  <c:v>205940.39468512664</c:v>
                </c:pt>
                <c:pt idx="20">
                  <c:v>210322.59763259673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D00-4712-982F-58D63603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01264384"/>
        <c:axId val="65798720"/>
      </c:lineChart>
      <c:catAx>
        <c:axId val="101264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98720"/>
        <c:crosses val="autoZero"/>
        <c:auto val="1"/>
        <c:lblAlgn val="ctr"/>
        <c:lblOffset val="100"/>
        <c:noMultiLvlLbl val="0"/>
      </c:catAx>
      <c:valAx>
        <c:axId val="65798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26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02852608"/>
        <c:axId val="6581625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v>EBTDA diskontovano, kumulativno</c:v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Lit>
                    <c:formatCode>General</c:formatCode>
                    <c:ptCount val="21"/>
                    <c:pt idx="1">
                      <c:v>-127314.3846725547</c:v>
                    </c:pt>
                    <c:pt idx="2">
                      <c:v>-105377.81555243285</c:v>
                    </c:pt>
                    <c:pt idx="3">
                      <c:v>-83007.129023242771</c:v>
                    </c:pt>
                    <c:pt idx="4">
                      <c:v>-60191.472149757727</c:v>
                    </c:pt>
                    <c:pt idx="5">
                      <c:v>-36919.720673370408</c:v>
                    </c:pt>
                    <c:pt idx="6">
                      <c:v>-13180.472229008214</c:v>
                    </c:pt>
                    <c:pt idx="7">
                      <c:v>11037.960607528221</c:v>
                    </c:pt>
                    <c:pt idx="8">
                      <c:v>35747.55744604324</c:v>
                    </c:pt>
                    <c:pt idx="9">
                      <c:v>60960.597386586305</c:v>
                    </c:pt>
                    <c:pt idx="10">
                      <c:v>86173.637327129371</c:v>
                    </c:pt>
                    <c:pt idx="11">
                      <c:v>111386.67726767249</c:v>
                    </c:pt>
                    <c:pt idx="12">
                      <c:v>136599.71720821562</c:v>
                    </c:pt>
                    <c:pt idx="13">
                      <c:v>161812.75714875874</c:v>
                    </c:pt>
                    <c:pt idx="14">
                      <c:v>187025.79708930186</c:v>
                    </c:pt>
                    <c:pt idx="15">
                      <c:v>212238.83702984499</c:v>
                    </c:pt>
                    <c:pt idx="16">
                      <c:v>237451.87697038811</c:v>
                    </c:pt>
                    <c:pt idx="17">
                      <c:v>262664.91691093124</c:v>
                    </c:pt>
                    <c:pt idx="18">
                      <c:v>287877.95685147436</c:v>
                    </c:pt>
                    <c:pt idx="19">
                      <c:v>313090.99679201748</c:v>
                    </c:pt>
                    <c:pt idx="20">
                      <c:v>338304.03673256061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C211-4810-871C-F9D601A08C6E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211-4810-871C-F9D601A08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02852608"/>
        <c:axId val="65816256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Graf - Troškovi diskontovano kumul.</c:v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Lit>
                    <c:formatCode>General</c:formatCode>
                    <c:ptCount val="21"/>
                    <c:pt idx="0">
                      <c:v>0</c:v>
                    </c:pt>
                    <c:pt idx="1">
                      <c:v>1</c:v>
                    </c:pt>
                    <c:pt idx="2">
                      <c:v>2</c:v>
                    </c:pt>
                    <c:pt idx="3">
                      <c:v>3</c:v>
                    </c:pt>
                    <c:pt idx="4">
                      <c:v>4</c:v>
                    </c:pt>
                    <c:pt idx="5">
                      <c:v>5</c:v>
                    </c:pt>
                    <c:pt idx="6">
                      <c:v>6</c:v>
                    </c:pt>
                    <c:pt idx="7">
                      <c:v>7</c:v>
                    </c:pt>
                    <c:pt idx="8">
                      <c:v>8</c:v>
                    </c:pt>
                    <c:pt idx="9">
                      <c:v>9</c:v>
                    </c:pt>
                    <c:pt idx="10">
                      <c:v>10</c:v>
                    </c:pt>
                    <c:pt idx="11">
                      <c:v>11</c:v>
                    </c:pt>
                    <c:pt idx="12">
                      <c:v>12</c:v>
                    </c:pt>
                    <c:pt idx="13">
                      <c:v>13</c:v>
                    </c:pt>
                    <c:pt idx="14">
                      <c:v>14</c:v>
                    </c:pt>
                    <c:pt idx="15">
                      <c:v>15</c:v>
                    </c:pt>
                    <c:pt idx="16">
                      <c:v>16</c:v>
                    </c:pt>
                    <c:pt idx="17">
                      <c:v>17</c:v>
                    </c:pt>
                    <c:pt idx="18">
                      <c:v>18</c:v>
                    </c:pt>
                    <c:pt idx="19">
                      <c:v>19</c:v>
                    </c:pt>
                    <c:pt idx="20">
                      <c:v>20</c:v>
                    </c:pt>
                  </c:numLit>
                </c:cat>
                <c:val>
                  <c:numLit>
                    <c:formatCode>General</c:formatCode>
                    <c:ptCount val="21"/>
                    <c:pt idx="0">
                      <c:v>148000</c:v>
                    </c:pt>
                    <c:pt idx="1">
                      <c:v>187180.87299191946</c:v>
                    </c:pt>
                    <c:pt idx="2">
                      <c:v>227505.45172393695</c:v>
                    </c:pt>
                    <c:pt idx="3">
                      <c:v>267395.91304688621</c:v>
                    </c:pt>
                    <c:pt idx="4">
                      <c:v>306841.40402554051</c:v>
                    </c:pt>
                    <c:pt idx="5">
                      <c:v>345830.80040129251</c:v>
                    </c:pt>
                    <c:pt idx="6">
                      <c:v>384352.69980906963</c:v>
                    </c:pt>
                    <c:pt idx="7">
                      <c:v>422395.41482467251</c:v>
                    </c:pt>
                    <c:pt idx="8">
                      <c:v>459946.9658382968</c:v>
                    </c:pt>
                    <c:pt idx="9">
                      <c:v>496995.07374989305</c:v>
                    </c:pt>
                    <c:pt idx="10">
                      <c:v>534043.1816614893</c:v>
                    </c:pt>
                    <c:pt idx="11">
                      <c:v>571091.28957308549</c:v>
                    </c:pt>
                    <c:pt idx="12">
                      <c:v>608139.39748468169</c:v>
                    </c:pt>
                    <c:pt idx="13">
                      <c:v>645187.50539627788</c:v>
                    </c:pt>
                    <c:pt idx="14">
                      <c:v>682235.61330787407</c:v>
                    </c:pt>
                    <c:pt idx="15">
                      <c:v>719283.72121947026</c:v>
                    </c:pt>
                    <c:pt idx="16">
                      <c:v>756331.82913106645</c:v>
                    </c:pt>
                    <c:pt idx="17">
                      <c:v>793379.93704266264</c:v>
                    </c:pt>
                    <c:pt idx="18">
                      <c:v>830428.04495425883</c:v>
                    </c:pt>
                    <c:pt idx="19">
                      <c:v>867476.15286585502</c:v>
                    </c:pt>
                    <c:pt idx="20">
                      <c:v>904524.26077745121</c:v>
                    </c:pt>
                  </c:numLit>
                </c:val>
                <c:smooth val="0"/>
                <c:extLst>
                  <c:ext xmlns:c16="http://schemas.microsoft.com/office/drawing/2014/chart" uri="{C3380CC4-5D6E-409C-BE32-E72D297353CC}">
                    <c16:uniqueId val="{00000001-C211-4810-871C-F9D601A08C6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Graf - Prihodi diskontovano kumul.</c:v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Lit>
                    <c:formatCode>General</c:formatCode>
                    <c:ptCount val="21"/>
                    <c:pt idx="1">
                      <c:v>59866.488319364747</c:v>
                    </c:pt>
                    <c:pt idx="2">
                      <c:v>122127.6361715041</c:v>
                    </c:pt>
                    <c:pt idx="3">
                      <c:v>184388.78402364344</c:v>
                    </c:pt>
                    <c:pt idx="4">
                      <c:v>246649.93187578279</c:v>
                    </c:pt>
                    <c:pt idx="5">
                      <c:v>308911.0797279221</c:v>
                    </c:pt>
                    <c:pt idx="6">
                      <c:v>371172.22758006142</c:v>
                    </c:pt>
                    <c:pt idx="7">
                      <c:v>433433.37543220073</c:v>
                    </c:pt>
                    <c:pt idx="8">
                      <c:v>495694.52328434004</c:v>
                    </c:pt>
                    <c:pt idx="9">
                      <c:v>557955.67113647936</c:v>
                    </c:pt>
                    <c:pt idx="10">
                      <c:v>620216.81898861867</c:v>
                    </c:pt>
                    <c:pt idx="11">
                      <c:v>682477.96684075799</c:v>
                    </c:pt>
                    <c:pt idx="12">
                      <c:v>744739.1146928973</c:v>
                    </c:pt>
                    <c:pt idx="13">
                      <c:v>807000.26254503662</c:v>
                    </c:pt>
                    <c:pt idx="14">
                      <c:v>869261.41039717593</c:v>
                    </c:pt>
                    <c:pt idx="15">
                      <c:v>931522.55824931525</c:v>
                    </c:pt>
                    <c:pt idx="16">
                      <c:v>993783.70610145456</c:v>
                    </c:pt>
                    <c:pt idx="17">
                      <c:v>1056044.8539535939</c:v>
                    </c:pt>
                    <c:pt idx="18">
                      <c:v>1118306.0018057332</c:v>
                    </c:pt>
                    <c:pt idx="19">
                      <c:v>1180567.1496578725</c:v>
                    </c:pt>
                    <c:pt idx="20">
                      <c:v>1242828.2975100118</c:v>
                    </c:pt>
                  </c:numLit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211-4810-871C-F9D601A08C6E}"/>
                  </c:ext>
                </c:extLst>
              </c15:ser>
            </c15:filteredLineSeries>
          </c:ext>
        </c:extLst>
      </c:lineChart>
      <c:catAx>
        <c:axId val="102852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16256"/>
        <c:crosses val="autoZero"/>
        <c:auto val="1"/>
        <c:lblAlgn val="ctr"/>
        <c:lblOffset val="100"/>
        <c:noMultiLvlLbl val="0"/>
      </c:catAx>
      <c:valAx>
        <c:axId val="6581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852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47625</xdr:rowOff>
    </xdr:from>
    <xdr:to>
      <xdr:col>2</xdr:col>
      <xdr:colOff>219075</xdr:colOff>
      <xdr:row>14</xdr:row>
      <xdr:rowOff>56803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1906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114300</xdr:rowOff>
    </xdr:from>
    <xdr:to>
      <xdr:col>11</xdr:col>
      <xdr:colOff>523875</xdr:colOff>
      <xdr:row>8</xdr:row>
      <xdr:rowOff>75853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1143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33</xdr:row>
      <xdr:rowOff>9525</xdr:rowOff>
    </xdr:from>
    <xdr:to>
      <xdr:col>2</xdr:col>
      <xdr:colOff>533400</xdr:colOff>
      <xdr:row>35</xdr:row>
      <xdr:rowOff>18703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76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50800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104775</xdr:rowOff>
    </xdr:from>
    <xdr:to>
      <xdr:col>11</xdr:col>
      <xdr:colOff>523875</xdr:colOff>
      <xdr:row>8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53250" y="1047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9525</xdr:rowOff>
    </xdr:from>
    <xdr:to>
      <xdr:col>16</xdr:col>
      <xdr:colOff>561975</xdr:colOff>
      <xdr:row>29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9</xdr:row>
      <xdr:rowOff>161925</xdr:rowOff>
    </xdr:from>
    <xdr:to>
      <xdr:col>2</xdr:col>
      <xdr:colOff>533400</xdr:colOff>
      <xdr:row>11</xdr:row>
      <xdr:rowOff>171103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33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5" name="Picture 4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571500</xdr:colOff>
      <xdr:row>0</xdr:row>
      <xdr:rowOff>152400</xdr:rowOff>
    </xdr:from>
    <xdr:to>
      <xdr:col>8</xdr:col>
      <xdr:colOff>541020</xdr:colOff>
      <xdr:row>3</xdr:row>
      <xdr:rowOff>160020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524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11</xdr:row>
      <xdr:rowOff>133350</xdr:rowOff>
    </xdr:from>
    <xdr:to>
      <xdr:col>15</xdr:col>
      <xdr:colOff>219075</xdr:colOff>
      <xdr:row>13</xdr:row>
      <xdr:rowOff>142528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2763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104775</xdr:colOff>
      <xdr:row>11</xdr:row>
      <xdr:rowOff>47625</xdr:rowOff>
    </xdr:from>
    <xdr:to>
      <xdr:col>13</xdr:col>
      <xdr:colOff>542925</xdr:colOff>
      <xdr:row>12</xdr:row>
      <xdr:rowOff>218728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163175" y="12668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90500"/>
          <a:ext cx="579120" cy="59817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579120</xdr:colOff>
      <xdr:row>5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10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104775</xdr:colOff>
      <xdr:row>11</xdr:row>
      <xdr:rowOff>57150</xdr:rowOff>
    </xdr:from>
    <xdr:to>
      <xdr:col>10</xdr:col>
      <xdr:colOff>542925</xdr:colOff>
      <xdr:row>13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10725" y="12763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178584</xdr:colOff>
      <xdr:row>6</xdr:row>
      <xdr:rowOff>0</xdr:rowOff>
    </xdr:from>
    <xdr:to>
      <xdr:col>11</xdr:col>
      <xdr:colOff>616734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65334" y="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093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178584</xdr:colOff>
      <xdr:row>6</xdr:row>
      <xdr:rowOff>0</xdr:rowOff>
    </xdr:from>
    <xdr:to>
      <xdr:col>11</xdr:col>
      <xdr:colOff>616734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9874A9B3-BD17-4C2A-8F04-AA5F8E485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84384" y="1162050"/>
          <a:ext cx="438150" cy="3949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E5A57491-C7AF-4DA9-84CA-CABFE941C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EB5A508C-2FE8-477E-8056-A34C2A041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76200</xdr:rowOff>
    </xdr:from>
    <xdr:to>
      <xdr:col>2</xdr:col>
      <xdr:colOff>219075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192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vFaktor"/>
      <sheetName val="Goriva"/>
    </sheetNames>
    <sheetDataSet>
      <sheetData sheetId="0"/>
      <sheetData sheetId="1">
        <row r="9">
          <cell r="B9" t="str">
            <v>Lignit</v>
          </cell>
          <cell r="C9">
            <v>0.4</v>
          </cell>
        </row>
        <row r="10">
          <cell r="B10" t="str">
            <v>Mrki ugalj</v>
          </cell>
          <cell r="C10">
            <v>0.33</v>
          </cell>
        </row>
        <row r="11">
          <cell r="B11" t="str">
            <v>Kameni ugalj</v>
          </cell>
          <cell r="C11">
            <v>0.34</v>
          </cell>
        </row>
        <row r="12">
          <cell r="B12" t="str">
            <v>Lož ulje</v>
          </cell>
          <cell r="C12">
            <v>0.27</v>
          </cell>
        </row>
        <row r="13">
          <cell r="B13" t="str">
            <v>Mazut</v>
          </cell>
          <cell r="C13">
            <v>0.28000000000000003</v>
          </cell>
        </row>
        <row r="14">
          <cell r="B14" t="str">
            <v>Prirodni gas</v>
          </cell>
          <cell r="C14">
            <v>0.2</v>
          </cell>
        </row>
        <row r="15">
          <cell r="B15" t="str">
            <v>TNG</v>
          </cell>
          <cell r="C15">
            <v>0.22</v>
          </cell>
        </row>
        <row r="16">
          <cell r="B16" t="str">
            <v>Drvo (nesertifikovano)</v>
          </cell>
          <cell r="C16">
            <v>0.49399999999999999</v>
          </cell>
        </row>
        <row r="17">
          <cell r="B17" t="str">
            <v>Drvo sertifikovano</v>
          </cell>
          <cell r="C17">
            <v>0</v>
          </cell>
        </row>
        <row r="18">
          <cell r="B18" t="str">
            <v>Suncokret ljuska</v>
          </cell>
          <cell r="C18">
            <v>0.04</v>
          </cell>
        </row>
        <row r="19">
          <cell r="B19" t="str">
            <v>Toplota (kupljena)</v>
          </cell>
          <cell r="C19">
            <v>0.28999999999999998</v>
          </cell>
        </row>
        <row r="20">
          <cell r="B20" t="str">
            <v>Električna energija</v>
          </cell>
          <cell r="C20">
            <v>0.8</v>
          </cell>
        </row>
        <row r="21">
          <cell r="B21" t="str">
            <v>Električna energija OIE</v>
          </cell>
          <cell r="C21">
            <v>0</v>
          </cell>
        </row>
        <row r="22">
          <cell r="B22" t="str">
            <v>Gorivo</v>
          </cell>
        </row>
        <row r="23">
          <cell r="B23" t="str">
            <v>Toplota iz DH</v>
          </cell>
          <cell r="C23">
            <v>0.22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P28" sqref="P28"/>
    </sheetView>
  </sheetViews>
  <sheetFormatPr defaultRowHeight="15" x14ac:dyDescent="0.25"/>
  <sheetData>
    <row r="3" spans="2:18" ht="16.5" x14ac:dyDescent="0.35">
      <c r="F3" s="67" t="s">
        <v>158</v>
      </c>
      <c r="G3" s="67"/>
      <c r="H3" s="67"/>
      <c r="I3" s="67"/>
    </row>
    <row r="7" spans="2:18" x14ac:dyDescent="0.25">
      <c r="B7" s="68" t="s">
        <v>0</v>
      </c>
      <c r="C7" s="68"/>
      <c r="D7" s="68"/>
      <c r="E7" s="68"/>
      <c r="F7" s="68"/>
      <c r="G7" s="68"/>
      <c r="H7" s="68"/>
      <c r="I7" s="68"/>
      <c r="J7" s="68"/>
      <c r="K7" s="68"/>
    </row>
    <row r="8" spans="2:18" x14ac:dyDescent="0.25"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2:18" x14ac:dyDescent="0.25">
      <c r="B9" s="68"/>
      <c r="C9" s="68"/>
      <c r="D9" s="68"/>
      <c r="E9" s="68"/>
      <c r="F9" s="68"/>
      <c r="G9" s="68"/>
      <c r="H9" s="68"/>
      <c r="I9" s="68"/>
      <c r="J9" s="68"/>
      <c r="K9" s="68"/>
      <c r="M9" s="69" t="s">
        <v>2</v>
      </c>
      <c r="N9" s="69"/>
      <c r="O9" s="69"/>
      <c r="P9" s="69"/>
      <c r="Q9" s="69"/>
      <c r="R9" s="69"/>
    </row>
    <row r="10" spans="2:18" x14ac:dyDescent="0.25">
      <c r="B10" s="68"/>
      <c r="C10" s="68"/>
      <c r="D10" s="68"/>
      <c r="E10" s="68"/>
      <c r="F10" s="68"/>
      <c r="G10" s="68"/>
      <c r="H10" s="68"/>
      <c r="I10" s="68"/>
      <c r="J10" s="68"/>
      <c r="K10" s="68"/>
      <c r="M10" s="69"/>
      <c r="N10" s="69"/>
      <c r="O10" s="69"/>
      <c r="P10" s="69"/>
      <c r="Q10" s="69"/>
      <c r="R10" s="69"/>
    </row>
    <row r="11" spans="2:18" x14ac:dyDescent="0.25"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2:18" x14ac:dyDescent="0.25">
      <c r="B12" s="68"/>
      <c r="C12" s="68"/>
      <c r="D12" s="68"/>
      <c r="E12" s="68"/>
      <c r="F12" s="68"/>
      <c r="G12" s="68"/>
      <c r="H12" s="68"/>
      <c r="I12" s="68"/>
      <c r="J12" s="68"/>
      <c r="K12" s="68"/>
      <c r="M12" s="70" t="s">
        <v>42</v>
      </c>
      <c r="N12" s="70"/>
      <c r="O12" s="70"/>
      <c r="P12" s="70"/>
      <c r="Q12" s="70"/>
      <c r="R12" s="70"/>
    </row>
    <row r="13" spans="2:18" x14ac:dyDescent="0.25"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2:18" x14ac:dyDescent="0.25">
      <c r="B14" s="68"/>
      <c r="C14" s="68"/>
      <c r="D14" s="68"/>
      <c r="E14" s="68"/>
      <c r="F14" s="68"/>
      <c r="G14" s="68"/>
      <c r="H14" s="68"/>
      <c r="I14" s="68"/>
      <c r="J14" s="68"/>
      <c r="K14" s="68"/>
      <c r="M14" s="71" t="s">
        <v>138</v>
      </c>
      <c r="N14" s="71"/>
      <c r="Q14" s="72" t="s">
        <v>139</v>
      </c>
      <c r="R14" s="72"/>
    </row>
    <row r="15" spans="2:18" x14ac:dyDescent="0.25">
      <c r="B15" s="68"/>
      <c r="C15" s="68"/>
      <c r="D15" s="68"/>
      <c r="E15" s="68"/>
      <c r="F15" s="68"/>
      <c r="G15" s="68"/>
      <c r="H15" s="68"/>
      <c r="I15" s="68"/>
      <c r="J15" s="68"/>
      <c r="K15" s="68"/>
      <c r="M15" s="71"/>
      <c r="N15" s="71"/>
      <c r="Q15" s="72"/>
      <c r="R15" s="72"/>
    </row>
    <row r="16" spans="2:18" x14ac:dyDescent="0.25"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2:11" x14ac:dyDescent="0.25"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2:11" x14ac:dyDescent="0.25"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2:11" x14ac:dyDescent="0.25"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2:11" x14ac:dyDescent="0.25"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2:11" x14ac:dyDescent="0.25"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2:11" x14ac:dyDescent="0.25"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2:11" x14ac:dyDescent="0.25"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2:11" x14ac:dyDescent="0.25">
      <c r="B24" s="68"/>
      <c r="C24" s="68"/>
      <c r="D24" s="68"/>
      <c r="E24" s="68"/>
      <c r="F24" s="68"/>
      <c r="G24" s="68"/>
      <c r="H24" s="68"/>
      <c r="I24" s="68"/>
      <c r="J24" s="68"/>
      <c r="K24" s="68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6" sqref="D26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ht="15" customHeight="1" x14ac:dyDescent="0.25">
      <c r="A7" s="69" t="s">
        <v>129</v>
      </c>
      <c r="B7" s="69"/>
      <c r="C7" s="69"/>
      <c r="D7" s="69"/>
    </row>
    <row r="8" spans="1:9" ht="15" customHeight="1" x14ac:dyDescent="0.25">
      <c r="A8" s="69"/>
      <c r="B8" s="69"/>
      <c r="C8" s="69"/>
      <c r="D8" s="69"/>
    </row>
    <row r="9" spans="1:9" x14ac:dyDescent="0.25">
      <c r="A9" s="69"/>
      <c r="B9" s="69"/>
      <c r="C9" s="69"/>
      <c r="D9" s="69"/>
    </row>
    <row r="11" spans="1:9" x14ac:dyDescent="0.25">
      <c r="A11" s="71" t="s">
        <v>138</v>
      </c>
      <c r="B11" s="71"/>
      <c r="C11" s="72" t="s">
        <v>139</v>
      </c>
      <c r="D11" s="72"/>
    </row>
    <row r="12" spans="1:9" x14ac:dyDescent="0.25">
      <c r="A12" s="71"/>
      <c r="B12" s="71"/>
      <c r="C12" s="72"/>
      <c r="D12" s="7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0"/>
  <sheetViews>
    <sheetView workbookViewId="0">
      <selection activeCell="G26" sqref="G26"/>
    </sheetView>
  </sheetViews>
  <sheetFormatPr defaultRowHeight="15" x14ac:dyDescent="0.25"/>
  <cols>
    <col min="6" max="6" width="10.42578125" customWidth="1"/>
  </cols>
  <sheetData>
    <row r="3" spans="1:28" ht="16.5" x14ac:dyDescent="0.35">
      <c r="F3" s="67" t="s">
        <v>158</v>
      </c>
      <c r="G3" s="67"/>
      <c r="H3" s="67"/>
      <c r="I3" s="67"/>
    </row>
    <row r="7" spans="1:28" ht="18.75" x14ac:dyDescent="0.3">
      <c r="A7" s="87" t="s">
        <v>130</v>
      </c>
      <c r="B7" s="87"/>
      <c r="C7" s="87"/>
      <c r="D7" s="87"/>
      <c r="I7" s="85" t="s">
        <v>138</v>
      </c>
      <c r="J7" s="85"/>
      <c r="N7" s="86" t="s">
        <v>139</v>
      </c>
      <c r="O7" s="86"/>
    </row>
    <row r="8" spans="1:28" x14ac:dyDescent="0.25">
      <c r="A8" s="87"/>
      <c r="B8" s="87"/>
      <c r="C8" s="87"/>
      <c r="D8" s="87"/>
    </row>
    <row r="10" spans="1:28" x14ac:dyDescent="0.25">
      <c r="A10" s="76" t="s">
        <v>131</v>
      </c>
      <c r="B10" s="76"/>
      <c r="C10" s="76"/>
      <c r="D10" s="76"/>
      <c r="E10" s="15"/>
      <c r="F10" s="15">
        <f>IF(E10&lt;UnosPodataka!$M$24,E10+1,"")</f>
        <v>1</v>
      </c>
      <c r="G10" s="15">
        <f>IF(F10&lt;UnosPodataka!$M$24,F10+1,"")</f>
        <v>2</v>
      </c>
      <c r="H10" s="15">
        <f>IF(G10&lt;UnosPodataka!$M$24,G10+1,"")</f>
        <v>3</v>
      </c>
      <c r="I10" s="15">
        <f>IF(H10&lt;UnosPodataka!$M$24,H10+1,"")</f>
        <v>4</v>
      </c>
      <c r="J10" s="15">
        <f>IF(I10&lt;UnosPodataka!$M$24,I10+1,"")</f>
        <v>5</v>
      </c>
      <c r="K10" s="15">
        <f>IF(J10&lt;UnosPodataka!$M$24,J10+1,"")</f>
        <v>6</v>
      </c>
      <c r="L10" s="15">
        <f>IF(K10&lt;UnosPodataka!$M$24,K10+1,"")</f>
        <v>7</v>
      </c>
      <c r="M10" s="15">
        <f>IF(L10&lt;UnosPodataka!$M$24,L10+1,"")</f>
        <v>8</v>
      </c>
      <c r="N10" s="15">
        <f>IF(M10&lt;UnosPodataka!$M$24,M10+1,"")</f>
        <v>9</v>
      </c>
      <c r="O10" s="15">
        <f>IF(N10&lt;UnosPodataka!$M$24,N10+1,"")</f>
        <v>10</v>
      </c>
      <c r="P10" s="15">
        <f>IF(O10&lt;UnosPodataka!$M$24,O10+1,"")</f>
        <v>11</v>
      </c>
      <c r="Q10" s="15">
        <f>IF(P10&lt;UnosPodataka!$M$24,P10+1,"")</f>
        <v>12</v>
      </c>
      <c r="R10" s="15">
        <f>IF(Q10&lt;UnosPodataka!$M$24,Q10+1,"")</f>
        <v>13</v>
      </c>
      <c r="S10" s="15">
        <f>IF(R10&lt;UnosPodataka!$M$24,R10+1,"")</f>
        <v>14</v>
      </c>
      <c r="T10" s="15">
        <f>IF(S10&lt;UnosPodataka!$M$24,S10+1,"")</f>
        <v>15</v>
      </c>
      <c r="U10" s="15">
        <f>IF(T10&lt;UnosPodataka!$M$24,T10+1,"")</f>
        <v>16</v>
      </c>
      <c r="V10" s="15">
        <f>IF(U10&lt;UnosPodataka!$M$24,U10+1,"")</f>
        <v>17</v>
      </c>
      <c r="W10" s="15">
        <f>IF(V10&lt;UnosPodataka!$M$24,V10+1,"")</f>
        <v>18</v>
      </c>
      <c r="X10" s="15">
        <f>IF(W10&lt;UnosPodataka!$M$24,W10+1,"")</f>
        <v>19</v>
      </c>
      <c r="Y10" s="15">
        <f>IF(X10&lt;UnosPodataka!$M$24,X10+1,"")</f>
        <v>20</v>
      </c>
      <c r="Z10" s="16"/>
      <c r="AA10" s="16"/>
      <c r="AB10" s="16"/>
    </row>
    <row r="12" spans="1:28" x14ac:dyDescent="0.25">
      <c r="A12" s="78" t="s">
        <v>132</v>
      </c>
      <c r="B12" s="78"/>
      <c r="C12" s="78"/>
      <c r="D12" s="78"/>
      <c r="E12" s="3"/>
      <c r="F12" s="3">
        <f>Investment</f>
        <v>144000</v>
      </c>
    </row>
    <row r="13" spans="1:28" x14ac:dyDescent="0.25">
      <c r="A13" s="78" t="s">
        <v>133</v>
      </c>
      <c r="B13" s="78"/>
      <c r="C13" s="78"/>
      <c r="D13" s="78"/>
      <c r="F13" s="3">
        <f>IF(F10&lt;&gt;"",-(FinaIndicators!F28+FinaIndicators!F33),"")</f>
        <v>25309.465639599362</v>
      </c>
      <c r="G13" s="3">
        <f>IF(G10&lt;&gt;"",-(FinaIndicators!G28+FinaIndicators!G33),"")</f>
        <v>25179.21848771405</v>
      </c>
      <c r="H13" s="3">
        <f>IF(H10&lt;&gt;"",-(FinaIndicators!H28+FinaIndicators!H33),"")</f>
        <v>25033.341677602501</v>
      </c>
      <c r="I13" s="3">
        <f>IF(I10&lt;&gt;"",-(FinaIndicators!I28+FinaIndicators!I33),"")</f>
        <v>24869.95965027756</v>
      </c>
      <c r="J13" s="3">
        <f>IF(J10&lt;&gt;"",-(FinaIndicators!J28+FinaIndicators!J33),"")</f>
        <v>24686.971779673633</v>
      </c>
      <c r="K13" s="3">
        <f>IF(K10&lt;&gt;"",-(FinaIndicators!K28+FinaIndicators!K33),"")</f>
        <v>24482.02536459723</v>
      </c>
      <c r="L13" s="3">
        <f>IF(L10&lt;&gt;"",-(FinaIndicators!L28+FinaIndicators!L33),"")</f>
        <v>24252.485379711659</v>
      </c>
      <c r="M13" s="3">
        <f>IF(M10&lt;&gt;"",-(FinaIndicators!M28+FinaIndicators!M33),"")</f>
        <v>23995.400596639822</v>
      </c>
      <c r="N13" s="3">
        <f>IF(N10&lt;&gt;"",-(FinaIndicators!N28+FinaIndicators!N33),"")</f>
        <v>5791.5127570819404</v>
      </c>
      <c r="O13" s="3">
        <f>IF(O10&lt;&gt;"",-(FinaIndicators!O28+FinaIndicators!O33),"")</f>
        <v>5791.5127570819404</v>
      </c>
      <c r="P13" s="3">
        <f>IF(P10&lt;&gt;"",-(FinaIndicators!P28+FinaIndicators!P33),"")</f>
        <v>5791.5127570819404</v>
      </c>
      <c r="Q13" s="3">
        <f>IF(Q10&lt;&gt;"",-(FinaIndicators!Q28+FinaIndicators!Q33),"")</f>
        <v>5791.5127570819404</v>
      </c>
      <c r="R13" s="3">
        <f>IF(R10&lt;&gt;"",-(FinaIndicators!R28+FinaIndicators!R33),"")</f>
        <v>5791.5127570819404</v>
      </c>
      <c r="S13" s="3">
        <f>IF(S10&lt;&gt;"",-(FinaIndicators!S28+FinaIndicators!S33),"")</f>
        <v>5791.5127570819404</v>
      </c>
      <c r="T13" s="3">
        <f>IF(T10&lt;&gt;"",-(FinaIndicators!T28+FinaIndicators!T33),"")</f>
        <v>5791.5127570819404</v>
      </c>
      <c r="U13" s="3">
        <f>IF(U10&lt;&gt;"",-(FinaIndicators!U28+FinaIndicators!U33),"")</f>
        <v>5791.5127570819404</v>
      </c>
      <c r="V13" s="3">
        <f>IF(V10&lt;&gt;"",-(FinaIndicators!V28+FinaIndicators!V33),"")</f>
        <v>5791.5127570819404</v>
      </c>
      <c r="W13" s="3">
        <f>IF(W10&lt;&gt;"",-(FinaIndicators!W28+FinaIndicators!W33),"")</f>
        <v>5791.5127570819404</v>
      </c>
      <c r="X13" s="3">
        <f>IF(X10&lt;&gt;"",-(FinaIndicators!X28+FinaIndicators!X33),"")</f>
        <v>5791.5127570819404</v>
      </c>
      <c r="Y13" s="3">
        <f>IF(Y10&lt;&gt;"",-(FinaIndicators!Y28+FinaIndicators!Y33),"")</f>
        <v>5791.5127570819404</v>
      </c>
    </row>
    <row r="14" spans="1:28" x14ac:dyDescent="0.25">
      <c r="A14" s="78" t="s">
        <v>134</v>
      </c>
      <c r="B14" s="78"/>
      <c r="C14" s="78"/>
      <c r="D14" s="78"/>
      <c r="E14" s="3"/>
      <c r="F14" s="3">
        <f t="shared" ref="F14:X14" si="0">IF(F10&lt;&gt;"",F12+F13,"")</f>
        <v>169309.46563959937</v>
      </c>
      <c r="G14" s="3">
        <f t="shared" si="0"/>
        <v>25179.21848771405</v>
      </c>
      <c r="H14" s="3">
        <f t="shared" si="0"/>
        <v>25033.341677602501</v>
      </c>
      <c r="I14" s="3">
        <f t="shared" si="0"/>
        <v>24869.95965027756</v>
      </c>
      <c r="J14" s="3">
        <f t="shared" si="0"/>
        <v>24686.971779673633</v>
      </c>
      <c r="K14" s="3">
        <f t="shared" si="0"/>
        <v>24482.02536459723</v>
      </c>
      <c r="L14" s="3">
        <f t="shared" si="0"/>
        <v>24252.485379711659</v>
      </c>
      <c r="M14" s="3">
        <f t="shared" si="0"/>
        <v>23995.400596639822</v>
      </c>
      <c r="N14" s="3">
        <f t="shared" si="0"/>
        <v>5791.5127570819404</v>
      </c>
      <c r="O14" s="3">
        <f t="shared" si="0"/>
        <v>5791.5127570819404</v>
      </c>
      <c r="P14" s="3">
        <f t="shared" si="0"/>
        <v>5791.5127570819404</v>
      </c>
      <c r="Q14" s="3">
        <f t="shared" si="0"/>
        <v>5791.5127570819404</v>
      </c>
      <c r="R14" s="3">
        <f t="shared" si="0"/>
        <v>5791.5127570819404</v>
      </c>
      <c r="S14" s="3">
        <f t="shared" si="0"/>
        <v>5791.5127570819404</v>
      </c>
      <c r="T14" s="3">
        <f t="shared" si="0"/>
        <v>5791.5127570819404</v>
      </c>
      <c r="U14" s="3">
        <f t="shared" si="0"/>
        <v>5791.5127570819404</v>
      </c>
      <c r="V14" s="3">
        <f t="shared" si="0"/>
        <v>5791.5127570819404</v>
      </c>
      <c r="W14" s="3">
        <f t="shared" si="0"/>
        <v>5791.5127570819404</v>
      </c>
      <c r="X14" s="3">
        <f t="shared" si="0"/>
        <v>5791.5127570819404</v>
      </c>
      <c r="Y14" s="3">
        <f t="shared" ref="Y14" si="1">IF(Y10&lt;&gt;"",Y12+Y13,"")</f>
        <v>5791.5127570819404</v>
      </c>
    </row>
    <row r="15" spans="1:28" x14ac:dyDescent="0.25">
      <c r="A15" s="79"/>
      <c r="B15" s="79"/>
      <c r="C15" s="79"/>
      <c r="D15" s="79"/>
    </row>
    <row r="16" spans="1:28" x14ac:dyDescent="0.25">
      <c r="A16" s="78" t="s">
        <v>125</v>
      </c>
      <c r="B16" s="78"/>
      <c r="C16" s="78"/>
      <c r="D16" s="78"/>
      <c r="F16" s="3">
        <f>IF(F10&lt;&gt;"",FinaIndicators!F14,"")</f>
        <v>356.08311398399997</v>
      </c>
      <c r="G16" s="3">
        <f>IF(G10&lt;&gt;"",FinaIndicators!G14,"")</f>
        <v>356.08311398399997</v>
      </c>
      <c r="H16" s="3">
        <f>IF(H10&lt;&gt;"",FinaIndicators!H14,"")</f>
        <v>356.08311398399997</v>
      </c>
      <c r="I16" s="3">
        <f>IF(I10&lt;&gt;"",FinaIndicators!I14,"")</f>
        <v>356.08311398399997</v>
      </c>
      <c r="J16" s="3">
        <f>IF(J10&lt;&gt;"",FinaIndicators!J14,"")</f>
        <v>356.08311398399997</v>
      </c>
      <c r="K16" s="3">
        <f>IF(K10&lt;&gt;"",FinaIndicators!K14,"")</f>
        <v>356.08311398399997</v>
      </c>
      <c r="L16" s="3">
        <f>IF(L10&lt;&gt;"",FinaIndicators!L14,"")</f>
        <v>356.08311398399997</v>
      </c>
      <c r="M16" s="3">
        <f>IF(M10&lt;&gt;"",FinaIndicators!M14,"")</f>
        <v>356.08311398399997</v>
      </c>
      <c r="N16" s="3">
        <f>IF(N10&lt;&gt;"",FinaIndicators!N14,"")</f>
        <v>356.08311398399997</v>
      </c>
      <c r="O16" s="3">
        <f>IF(O10&lt;&gt;"",FinaIndicators!O14,"")</f>
        <v>356.08311398399997</v>
      </c>
      <c r="P16" s="3">
        <f>IF(P10&lt;&gt;"",FinaIndicators!P14,"")</f>
        <v>356.08311398399997</v>
      </c>
      <c r="Q16" s="3">
        <f>IF(Q10&lt;&gt;"",FinaIndicators!Q14,"")</f>
        <v>356.08311398399997</v>
      </c>
      <c r="R16" s="3">
        <f>IF(R10&lt;&gt;"",FinaIndicators!R14,"")</f>
        <v>356.08311398399997</v>
      </c>
      <c r="S16" s="3">
        <f>IF(S10&lt;&gt;"",FinaIndicators!S14,"")</f>
        <v>356.08311398399997</v>
      </c>
      <c r="T16" s="3">
        <f>IF(T10&lt;&gt;"",FinaIndicators!T14,"")</f>
        <v>356.08311398399997</v>
      </c>
      <c r="U16" s="3">
        <f>IF(U10&lt;&gt;"",FinaIndicators!U14,"")</f>
        <v>356.08311398399997</v>
      </c>
      <c r="V16" s="3">
        <f>IF(V10&lt;&gt;"",FinaIndicators!V14,"")</f>
        <v>356.08311398399997</v>
      </c>
      <c r="W16" s="3">
        <f>IF(W10&lt;&gt;"",FinaIndicators!W14,"")</f>
        <v>356.08311398399997</v>
      </c>
      <c r="X16" s="3">
        <f>IF(X10&lt;&gt;"",FinaIndicators!X14,"")</f>
        <v>356.08311398399997</v>
      </c>
      <c r="Y16" s="3">
        <f>IF(Y10&lt;&gt;"",FinaIndicators!Y14,"")</f>
        <v>356.08311398399997</v>
      </c>
    </row>
    <row r="17" spans="1:25" ht="18" x14ac:dyDescent="0.35">
      <c r="A17" s="78" t="s">
        <v>135</v>
      </c>
      <c r="B17" s="78"/>
      <c r="C17" s="78"/>
      <c r="D17" s="78"/>
      <c r="F17" s="3">
        <f>IF(F10&lt;&gt;"",F16*UnosPodataka!$M$23,"")</f>
        <v>117.50742761472</v>
      </c>
      <c r="G17" s="3">
        <f>IF(G10&lt;&gt;"",G16*UnosPodataka!$M$23,"")</f>
        <v>117.50742761472</v>
      </c>
      <c r="H17" s="3">
        <f>IF(H10&lt;&gt;"",H16*UnosPodataka!$M$23,"")</f>
        <v>117.50742761472</v>
      </c>
      <c r="I17" s="3">
        <f>IF(I10&lt;&gt;"",I16*UnosPodataka!$M$23,"")</f>
        <v>117.50742761472</v>
      </c>
      <c r="J17" s="3">
        <f>IF(J10&lt;&gt;"",J16*UnosPodataka!$M$23,"")</f>
        <v>117.50742761472</v>
      </c>
      <c r="K17" s="3">
        <f>IF(K10&lt;&gt;"",K16*UnosPodataka!$M$23,"")</f>
        <v>117.50742761472</v>
      </c>
      <c r="L17" s="3">
        <f>IF(L10&lt;&gt;"",L16*UnosPodataka!$M$23,"")</f>
        <v>117.50742761472</v>
      </c>
      <c r="M17" s="3">
        <f>IF(M10&lt;&gt;"",M16*UnosPodataka!$M$23,"")</f>
        <v>117.50742761472</v>
      </c>
      <c r="N17" s="3">
        <f>IF(N10&lt;&gt;"",N16*UnosPodataka!$M$23,"")</f>
        <v>117.50742761472</v>
      </c>
      <c r="O17" s="3">
        <f>IF(O10&lt;&gt;"",O16*UnosPodataka!$M$23,"")</f>
        <v>117.50742761472</v>
      </c>
      <c r="P17" s="3">
        <f>IF(P10&lt;&gt;"",P16*UnosPodataka!$M$23,"")</f>
        <v>117.50742761472</v>
      </c>
      <c r="Q17" s="3">
        <f>IF(Q10&lt;&gt;"",Q16*UnosPodataka!$M$23,"")</f>
        <v>117.50742761472</v>
      </c>
      <c r="R17" s="3">
        <f>IF(R10&lt;&gt;"",R16*UnosPodataka!$M$23,"")</f>
        <v>117.50742761472</v>
      </c>
      <c r="S17" s="3">
        <f>IF(S10&lt;&gt;"",S16*UnosPodataka!$M$23,"")</f>
        <v>117.50742761472</v>
      </c>
      <c r="T17" s="3">
        <f>IF(T10&lt;&gt;"",T16*UnosPodataka!$M$23,"")</f>
        <v>117.50742761472</v>
      </c>
      <c r="U17" s="3">
        <f>IF(U10&lt;&gt;"",U16*UnosPodataka!$M$23,"")</f>
        <v>117.50742761472</v>
      </c>
      <c r="V17" s="3">
        <f>IF(V10&lt;&gt;"",V16*UnosPodataka!$M$23,"")</f>
        <v>117.50742761472</v>
      </c>
      <c r="W17" s="3">
        <f>IF(W10&lt;&gt;"",W16*UnosPodataka!$M$23,"")</f>
        <v>117.50742761472</v>
      </c>
      <c r="X17" s="3">
        <f>IF(X10&lt;&gt;"",X16*UnosPodataka!$M$23,"")</f>
        <v>117.50742761472</v>
      </c>
      <c r="Y17" s="3">
        <f>IF(Y10&lt;&gt;"",Y16*UnosPodataka!$M$23,"")</f>
        <v>117.50742761472</v>
      </c>
    </row>
    <row r="19" spans="1:25" x14ac:dyDescent="0.25">
      <c r="A19" s="76" t="s">
        <v>30</v>
      </c>
      <c r="B19" s="76"/>
      <c r="C19" s="76"/>
      <c r="D19" s="76"/>
      <c r="E19" s="3">
        <f>NPV(FinaIndicators!E39,LCoEE!F14:Y14)/NPV(FinaIndicators!E39,LCoEE!F16:Y16)</f>
        <v>87.20905931944165</v>
      </c>
    </row>
    <row r="20" spans="1:25" ht="18" x14ac:dyDescent="0.35">
      <c r="A20" s="76" t="s">
        <v>31</v>
      </c>
      <c r="B20" s="76"/>
      <c r="C20" s="76"/>
      <c r="D20" s="76"/>
      <c r="E20" s="3">
        <f>NPV(UnosPodataka!M18,LCoEE!F14:Y14)/NPV(UnosPodataka!M18,LCoEE!F17:Y17)</f>
        <v>237.57806373260786</v>
      </c>
    </row>
  </sheetData>
  <sheetProtection selectLockedCells="1"/>
  <mergeCells count="13">
    <mergeCell ref="F3:I3"/>
    <mergeCell ref="I7:J7"/>
    <mergeCell ref="N7:O7"/>
    <mergeCell ref="A16:D16"/>
    <mergeCell ref="A17:D17"/>
    <mergeCell ref="A19:D19"/>
    <mergeCell ref="A20:D20"/>
    <mergeCell ref="A7:D8"/>
    <mergeCell ref="A10:D10"/>
    <mergeCell ref="A12:D12"/>
    <mergeCell ref="A13:D13"/>
    <mergeCell ref="A14:D14"/>
    <mergeCell ref="A15:D15"/>
  </mergeCells>
  <hyperlinks>
    <hyperlink ref="I7:J7" location="GraphEcon!A5" display="NAZAD"/>
    <hyperlink ref="N7:O7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8"/>
  <sheetViews>
    <sheetView topLeftCell="A3" workbookViewId="0">
      <selection activeCell="E6" sqref="E6"/>
    </sheetView>
  </sheetViews>
  <sheetFormatPr defaultRowHeight="15" x14ac:dyDescent="0.25"/>
  <cols>
    <col min="1" max="1" width="12.42578125" customWidth="1"/>
    <col min="2" max="2" width="12.140625" customWidth="1"/>
    <col min="4" max="4" width="11.7109375" customWidth="1"/>
  </cols>
  <sheetData>
    <row r="3" spans="1:9" ht="16.5" x14ac:dyDescent="0.35">
      <c r="F3" s="67" t="s">
        <v>158</v>
      </c>
      <c r="G3" s="67"/>
      <c r="H3" s="67"/>
      <c r="I3" s="67"/>
    </row>
    <row r="6" spans="1:9" ht="21" x14ac:dyDescent="0.35">
      <c r="A6" s="74" t="s">
        <v>136</v>
      </c>
      <c r="B6" s="74"/>
      <c r="C6" s="74"/>
      <c r="D6" s="74"/>
    </row>
    <row r="8" spans="1:9" ht="15.75" thickBot="1" x14ac:dyDescent="0.3"/>
    <row r="9" spans="1:9" ht="15.75" thickBot="1" x14ac:dyDescent="0.3">
      <c r="B9" s="47" t="s">
        <v>185</v>
      </c>
      <c r="C9" s="48"/>
      <c r="D9" s="47" t="s">
        <v>186</v>
      </c>
      <c r="E9" s="48"/>
    </row>
    <row r="10" spans="1:9" ht="15.75" thickBot="1" x14ac:dyDescent="0.3">
      <c r="B10" s="49" t="s">
        <v>187</v>
      </c>
      <c r="C10" s="49" t="s">
        <v>188</v>
      </c>
      <c r="D10" s="49" t="s">
        <v>187</v>
      </c>
      <c r="E10" s="49" t="s">
        <v>188</v>
      </c>
    </row>
    <row r="12" spans="1:9" x14ac:dyDescent="0.25">
      <c r="A12" s="50" t="s">
        <v>189</v>
      </c>
      <c r="B12" s="51">
        <v>-83114.969172431811</v>
      </c>
      <c r="C12" s="52">
        <v>1.4288484963508541E-2</v>
      </c>
      <c r="D12" s="51">
        <v>-26192.412686633728</v>
      </c>
      <c r="E12" s="7">
        <v>6.3414607587773286E-2</v>
      </c>
    </row>
    <row r="13" spans="1:9" x14ac:dyDescent="0.25">
      <c r="B13" s="51"/>
      <c r="C13" s="52"/>
      <c r="D13" s="51"/>
    </row>
    <row r="14" spans="1:9" x14ac:dyDescent="0.25">
      <c r="A14" s="50" t="s">
        <v>191</v>
      </c>
      <c r="B14" s="51"/>
      <c r="C14" s="52"/>
      <c r="D14" s="51"/>
    </row>
    <row r="15" spans="1:9" x14ac:dyDescent="0.25">
      <c r="A15" s="18">
        <v>0.1</v>
      </c>
      <c r="B15" s="51">
        <v>-67294.284546021707</v>
      </c>
      <c r="C15" s="52">
        <v>2.8653292593661561E-2</v>
      </c>
      <c r="D15" s="51">
        <v>-10371.728060223584</v>
      </c>
      <c r="E15" s="7">
        <v>7.6111097356087898E-2</v>
      </c>
    </row>
    <row r="16" spans="1:9" x14ac:dyDescent="0.25">
      <c r="A16" s="18">
        <v>-0.1</v>
      </c>
      <c r="B16" s="51">
        <v>-98935.653798841944</v>
      </c>
      <c r="C16" s="52">
        <v>-8.724416519103606E-4</v>
      </c>
      <c r="D16" s="51">
        <v>-42013.09731304388</v>
      </c>
      <c r="E16" s="7">
        <v>5.0386461562075047E-2</v>
      </c>
    </row>
    <row r="17" spans="1:5" x14ac:dyDescent="0.25">
      <c r="A17" t="s">
        <v>190</v>
      </c>
      <c r="B17" s="52">
        <v>0.52529999999999999</v>
      </c>
      <c r="C17" s="52"/>
      <c r="D17" s="52">
        <v>0.16550000000000001</v>
      </c>
      <c r="E17" s="7"/>
    </row>
    <row r="18" spans="1:5" x14ac:dyDescent="0.25">
      <c r="B18" s="51"/>
      <c r="C18" s="52"/>
      <c r="D18" s="51"/>
    </row>
    <row r="19" spans="1:5" x14ac:dyDescent="0.25">
      <c r="A19" s="50" t="s">
        <v>101</v>
      </c>
      <c r="B19" s="51"/>
      <c r="C19" s="52"/>
      <c r="D19" s="51"/>
    </row>
    <row r="20" spans="1:5" x14ac:dyDescent="0.25">
      <c r="A20" s="18">
        <v>0.1</v>
      </c>
      <c r="B20" s="51">
        <v>-82447.951645144174</v>
      </c>
      <c r="C20" s="52">
        <v>1.4908727550491552E-2</v>
      </c>
      <c r="D20" s="51">
        <v>-25525.395159346081</v>
      </c>
      <c r="E20" s="7">
        <v>6.3956066335129069E-2</v>
      </c>
    </row>
    <row r="21" spans="1:5" x14ac:dyDescent="0.25">
      <c r="A21" s="18">
        <v>-0.1</v>
      </c>
      <c r="B21" s="51">
        <v>-83781.986699719506</v>
      </c>
      <c r="C21" s="52">
        <v>1.3666837594206172E-2</v>
      </c>
      <c r="D21" s="51">
        <v>-26859.430213921394</v>
      </c>
      <c r="E21" s="7">
        <v>6.2872561996877963E-2</v>
      </c>
    </row>
    <row r="22" spans="1:5" x14ac:dyDescent="0.25">
      <c r="A22" t="s">
        <v>190</v>
      </c>
      <c r="B22" s="54" t="s">
        <v>193</v>
      </c>
      <c r="C22" s="52"/>
      <c r="D22" s="54" t="s">
        <v>193</v>
      </c>
      <c r="E22" s="7"/>
    </row>
    <row r="23" spans="1:5" x14ac:dyDescent="0.25">
      <c r="B23" s="51"/>
      <c r="C23" s="52"/>
      <c r="D23" s="51"/>
    </row>
    <row r="24" spans="1:5" x14ac:dyDescent="0.25">
      <c r="A24" s="50" t="s">
        <v>106</v>
      </c>
      <c r="B24" s="50"/>
      <c r="C24" s="50"/>
      <c r="D24" s="50"/>
    </row>
    <row r="25" spans="1:5" x14ac:dyDescent="0.25">
      <c r="A25" s="18">
        <v>0.1</v>
      </c>
      <c r="B25" s="51"/>
      <c r="C25" s="52"/>
      <c r="D25" s="51">
        <v>-20500.157038053945</v>
      </c>
      <c r="E25" s="7">
        <v>6.8017065189433623E-2</v>
      </c>
    </row>
    <row r="26" spans="1:5" x14ac:dyDescent="0.25">
      <c r="A26" s="18">
        <v>-0.1</v>
      </c>
      <c r="B26" s="51"/>
      <c r="C26" s="52"/>
      <c r="D26" s="51">
        <v>-31884.668335213581</v>
      </c>
      <c r="E26" s="7">
        <v>5.8769386734691453E-2</v>
      </c>
    </row>
    <row r="27" spans="1:5" x14ac:dyDescent="0.25">
      <c r="A27" t="s">
        <v>190</v>
      </c>
      <c r="B27" s="52"/>
      <c r="C27" s="52"/>
      <c r="D27" s="52">
        <v>0.46</v>
      </c>
      <c r="E27" s="7"/>
    </row>
    <row r="28" spans="1:5" x14ac:dyDescent="0.25">
      <c r="B28" s="53"/>
      <c r="C28" s="52"/>
      <c r="D28" s="53"/>
      <c r="E28" s="7"/>
    </row>
    <row r="29" spans="1:5" x14ac:dyDescent="0.25">
      <c r="A29" s="50" t="s">
        <v>192</v>
      </c>
      <c r="B29" s="53"/>
      <c r="C29" s="52"/>
      <c r="D29" s="53"/>
      <c r="E29" s="7"/>
    </row>
    <row r="30" spans="1:5" x14ac:dyDescent="0.25">
      <c r="A30" s="18">
        <v>0.1</v>
      </c>
      <c r="B30" s="51">
        <v>-114874.80856788777</v>
      </c>
      <c r="C30" s="52">
        <v>-3.2907404547782848E-3</v>
      </c>
      <c r="D30" s="51">
        <v>-59442.988339962481</v>
      </c>
      <c r="E30" s="7">
        <v>4.3202640373432022E-2</v>
      </c>
    </row>
    <row r="31" spans="1:5" x14ac:dyDescent="0.25">
      <c r="A31" s="18">
        <v>-0.1</v>
      </c>
      <c r="B31" s="51">
        <v>-50046.430258461936</v>
      </c>
      <c r="C31" s="52">
        <v>3.5166105294778927E-2</v>
      </c>
      <c r="D31" s="51">
        <v>8780.0864989255188</v>
      </c>
      <c r="E31" s="7">
        <v>8.7843004528714408E-2</v>
      </c>
    </row>
    <row r="32" spans="1:5" x14ac:dyDescent="0.25">
      <c r="A32" t="s">
        <v>190</v>
      </c>
      <c r="B32" s="52">
        <v>0.24060000000000001</v>
      </c>
      <c r="C32" s="53"/>
      <c r="D32" s="52">
        <v>-7.5999999999999998E-2</v>
      </c>
      <c r="E32" s="7"/>
    </row>
    <row r="34" spans="1:5" x14ac:dyDescent="0.25">
      <c r="A34" s="71" t="s">
        <v>138</v>
      </c>
      <c r="B34" s="71"/>
      <c r="D34" s="72" t="s">
        <v>139</v>
      </c>
      <c r="E34" s="72"/>
    </row>
    <row r="35" spans="1:5" x14ac:dyDescent="0.25">
      <c r="A35" s="71"/>
      <c r="B35" s="71"/>
      <c r="D35" s="72"/>
      <c r="E35" s="72"/>
    </row>
    <row r="38" spans="1:5" x14ac:dyDescent="0.25">
      <c r="B38" s="51">
        <f>+FinaIndicators!$E$43</f>
        <v>-83114.969172431811</v>
      </c>
      <c r="C38" s="52">
        <f>+FinaIndicators!$E$44</f>
        <v>1.4288484963508541E-2</v>
      </c>
      <c r="D38" s="51">
        <f>+'FinInd+CO2'!$E$44</f>
        <v>2268.8655562652939</v>
      </c>
      <c r="E38" s="7">
        <f>+'FinInd+CO2'!$E$45</f>
        <v>8.6063549634013414E-2</v>
      </c>
    </row>
  </sheetData>
  <sheetProtection selectLockedCells="1" selectUnlockedCells="1"/>
  <mergeCells count="4">
    <mergeCell ref="F3:I3"/>
    <mergeCell ref="A34:B35"/>
    <mergeCell ref="D34:E35"/>
    <mergeCell ref="A6:D6"/>
  </mergeCells>
  <hyperlinks>
    <hyperlink ref="A34:B35" location="LCoEE!I1" display="NAZAD"/>
    <hyperlink ref="D34:E35" location="AkoESCO!A1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A24:D24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J19" sqref="J19"/>
    </sheetView>
  </sheetViews>
  <sheetFormatPr defaultRowHeight="15" x14ac:dyDescent="0.25"/>
  <cols>
    <col min="5" max="5" width="11.5703125" bestFit="1" customWidth="1"/>
  </cols>
  <sheetData>
    <row r="3" spans="1:25" ht="16.5" x14ac:dyDescent="0.35">
      <c r="F3" s="67" t="s">
        <v>158</v>
      </c>
      <c r="G3" s="67"/>
      <c r="H3" s="67"/>
      <c r="I3" s="67"/>
    </row>
    <row r="7" spans="1:25" ht="18.75" x14ac:dyDescent="0.3">
      <c r="A7" s="69" t="s">
        <v>141</v>
      </c>
      <c r="B7" s="69"/>
      <c r="C7" s="69"/>
      <c r="D7" s="69"/>
      <c r="I7" s="85" t="s">
        <v>138</v>
      </c>
      <c r="J7" s="85"/>
      <c r="N7" s="72" t="s">
        <v>139</v>
      </c>
      <c r="O7" s="72"/>
    </row>
    <row r="8" spans="1:25" x14ac:dyDescent="0.25">
      <c r="A8" s="69"/>
      <c r="B8" s="69"/>
      <c r="C8" s="69"/>
      <c r="D8" s="69"/>
    </row>
    <row r="10" spans="1:25" x14ac:dyDescent="0.25">
      <c r="A10" s="76" t="s">
        <v>131</v>
      </c>
      <c r="B10" s="76"/>
      <c r="C10" s="76"/>
      <c r="D10" s="76"/>
      <c r="E10" s="19"/>
      <c r="F10" s="15">
        <f>IF(E10&lt;UnosPodataka!$M$24,E10+1,"")</f>
        <v>1</v>
      </c>
      <c r="G10" s="15">
        <f>IF(F10&lt;UnosPodataka!$M$24,F10+1,"")</f>
        <v>2</v>
      </c>
      <c r="H10" s="15">
        <f>IF(G10&lt;UnosPodataka!$M$24,G10+1,"")</f>
        <v>3</v>
      </c>
      <c r="I10" s="15">
        <f>IF(H10&lt;UnosPodataka!$M$24,H10+1,"")</f>
        <v>4</v>
      </c>
      <c r="J10" s="15">
        <f>IF(I10&lt;UnosPodataka!$M$24,I10+1,"")</f>
        <v>5</v>
      </c>
      <c r="K10" s="15">
        <f>IF(J10&lt;UnosPodataka!$M$24,J10+1,"")</f>
        <v>6</v>
      </c>
      <c r="L10" s="15">
        <f>IF(K10&lt;UnosPodataka!$M$24,K10+1,"")</f>
        <v>7</v>
      </c>
      <c r="M10" s="15">
        <f>IF(L10&lt;UnosPodataka!$M$24,L10+1,"")</f>
        <v>8</v>
      </c>
      <c r="N10" s="15">
        <f>IF(M10&lt;UnosPodataka!$M$24,M10+1,"")</f>
        <v>9</v>
      </c>
      <c r="O10" s="15">
        <f>IF(N10&lt;UnosPodataka!$M$24,N10+1,"")</f>
        <v>10</v>
      </c>
      <c r="P10" s="15">
        <f>IF(O10&lt;UnosPodataka!$M$24,O10+1,"")</f>
        <v>11</v>
      </c>
      <c r="Q10" s="15">
        <f>IF(P10&lt;UnosPodataka!$M$24,P10+1,"")</f>
        <v>12</v>
      </c>
      <c r="R10" s="15">
        <f>IF(Q10&lt;UnosPodataka!$M$24,Q10+1,"")</f>
        <v>13</v>
      </c>
      <c r="S10" s="15">
        <f>IF(R10&lt;UnosPodataka!$M$24,R10+1,"")</f>
        <v>14</v>
      </c>
      <c r="T10" s="15">
        <f>IF(S10&lt;UnosPodataka!$M$24,S10+1,"")</f>
        <v>15</v>
      </c>
      <c r="U10" s="15">
        <f>IF(T10&lt;UnosPodataka!$M$24,T10+1,"")</f>
        <v>16</v>
      </c>
      <c r="V10" s="15">
        <f>IF(U10&lt;UnosPodataka!$M$24,U10+1,"")</f>
        <v>17</v>
      </c>
      <c r="W10" s="15">
        <f>IF(V10&lt;UnosPodataka!$M$24,V10+1,"")</f>
        <v>18</v>
      </c>
      <c r="X10" s="15">
        <f>IF(W10&lt;UnosPodataka!$M$24,W10+1,"")</f>
        <v>19</v>
      </c>
      <c r="Y10" s="15">
        <f>IF(X10&lt;UnosPodataka!$M$24,X10+1,"")</f>
        <v>20</v>
      </c>
    </row>
    <row r="12" spans="1:25" x14ac:dyDescent="0.25">
      <c r="A12" s="78" t="s">
        <v>144</v>
      </c>
      <c r="B12" s="78"/>
      <c r="C12" s="78"/>
      <c r="D12" s="78"/>
      <c r="E12" s="3">
        <v>0</v>
      </c>
      <c r="F12" s="3">
        <f>IF(F10&lt;&gt;"",-FinaIndicators!F27,"")</f>
        <v>0</v>
      </c>
      <c r="G12" s="3">
        <f>IF(G10&lt;&gt;"",-FinaIndicators!G27,"")</f>
        <v>0</v>
      </c>
      <c r="H12" s="3">
        <f>IF(H10&lt;&gt;"",-FinaIndicators!H27,"")</f>
        <v>0</v>
      </c>
      <c r="I12" s="3">
        <f>IF(I10&lt;&gt;"",-FinaIndicators!I27,"")</f>
        <v>0</v>
      </c>
      <c r="J12" s="3">
        <f>IF(J10&lt;&gt;"",-FinaIndicators!J27,"")</f>
        <v>0</v>
      </c>
      <c r="K12" s="3">
        <f>IF(K10&lt;&gt;"",-FinaIndicators!K27,"")</f>
        <v>0</v>
      </c>
      <c r="L12" s="3">
        <f>IF(L10&lt;&gt;"",-FinaIndicators!L27,"")</f>
        <v>0</v>
      </c>
      <c r="M12" s="3">
        <f>IF(M10&lt;&gt;"",-FinaIndicators!M27,"")</f>
        <v>0</v>
      </c>
      <c r="N12" s="3">
        <f>IF(N10&lt;&gt;"",-FinaIndicators!N27,"")</f>
        <v>0</v>
      </c>
      <c r="O12" s="3">
        <f>IF(O10&lt;&gt;"",-FinaIndicators!O27,"")</f>
        <v>0</v>
      </c>
      <c r="P12" s="3">
        <f>IF(P10&lt;&gt;"",-FinaIndicators!P27,"")</f>
        <v>0</v>
      </c>
      <c r="Q12" s="3">
        <f>IF(Q10&lt;&gt;"",-FinaIndicators!Q27,"")</f>
        <v>0</v>
      </c>
      <c r="R12" s="3">
        <f>IF(R10&lt;&gt;"",-FinaIndicators!R27,"")</f>
        <v>0</v>
      </c>
      <c r="S12" s="3">
        <f>IF(S10&lt;&gt;"",-FinaIndicators!S27,"")</f>
        <v>0</v>
      </c>
      <c r="T12" s="3">
        <f>IF(T10&lt;&gt;"",-FinaIndicators!T27,"")</f>
        <v>0</v>
      </c>
      <c r="U12" s="3">
        <f>IF(U10&lt;&gt;"",-FinaIndicators!U27,"")</f>
        <v>0</v>
      </c>
      <c r="V12" s="3">
        <f>IF(V10&lt;&gt;"",-FinaIndicators!V27,"")</f>
        <v>0</v>
      </c>
      <c r="W12" s="3">
        <f>IF(W10&lt;&gt;"",-FinaIndicators!W27,"")</f>
        <v>0</v>
      </c>
      <c r="X12" s="3">
        <f>IF(X10&lt;&gt;"",-FinaIndicators!X27,"")</f>
        <v>0</v>
      </c>
      <c r="Y12" s="3">
        <f>IF(Y10&lt;&gt;"",-FinaIndicators!Y27,"")</f>
        <v>0</v>
      </c>
    </row>
    <row r="13" spans="1:25" x14ac:dyDescent="0.25">
      <c r="A13" s="78" t="s">
        <v>145</v>
      </c>
      <c r="B13" s="78"/>
      <c r="C13" s="78"/>
      <c r="D13" s="78"/>
      <c r="E13" s="3">
        <v>0</v>
      </c>
      <c r="F13" s="3">
        <f>IF(F10&lt;&gt;"",F12*(1+UnosPodataka!$M$18)^(-F10),"")</f>
        <v>0</v>
      </c>
      <c r="G13" s="3">
        <f>IF(G10&lt;&gt;"",G12*(1+UnosPodataka!$M$18)^(-G10),"")</f>
        <v>0</v>
      </c>
      <c r="H13" s="3">
        <f>IF(H10&lt;&gt;"",H12*(1+UnosPodataka!$M$18)^(-H10),"")</f>
        <v>0</v>
      </c>
      <c r="I13" s="3">
        <f>IF(I10&lt;&gt;"",I12*(1+UnosPodataka!$M$18)^(-I10),"")</f>
        <v>0</v>
      </c>
      <c r="J13" s="3">
        <f>IF(J10&lt;&gt;"",J12*(1+UnosPodataka!$M$18)^(-J10),"")</f>
        <v>0</v>
      </c>
      <c r="K13" s="3">
        <f>IF(K10&lt;&gt;"",K12*(1+UnosPodataka!$M$18)^(-K10),"")</f>
        <v>0</v>
      </c>
      <c r="L13" s="3">
        <f>IF(L10&lt;&gt;"",L12*(1+UnosPodataka!$M$18)^(-L10),"")</f>
        <v>0</v>
      </c>
      <c r="M13" s="3">
        <f>IF(M10&lt;&gt;"",M12*(1+UnosPodataka!$M$18)^(-M10),"")</f>
        <v>0</v>
      </c>
      <c r="N13" s="3">
        <f>IF(N10&lt;&gt;"",N12*(1+UnosPodataka!$M$18)^(-N10),"")</f>
        <v>0</v>
      </c>
      <c r="O13" s="3">
        <f>IF(O10&lt;&gt;"",O12*(1+UnosPodataka!$M$18)^(-O10),"")</f>
        <v>0</v>
      </c>
      <c r="P13" s="3">
        <f>IF(P10&lt;&gt;"",P12*(1+UnosPodataka!$M$18)^(-P10),"")</f>
        <v>0</v>
      </c>
      <c r="Q13" s="3">
        <f>IF(Q10&lt;&gt;"",Q12*(1+UnosPodataka!$M$18)^(-Q10),"")</f>
        <v>0</v>
      </c>
      <c r="R13" s="3">
        <f>IF(R10&lt;&gt;"",R12*(1+UnosPodataka!$M$18)^(-R10),"")</f>
        <v>0</v>
      </c>
      <c r="S13" s="3">
        <f>IF(S10&lt;&gt;"",S12*(1+UnosPodataka!$M$18)^(-S10),"")</f>
        <v>0</v>
      </c>
      <c r="T13" s="3">
        <f>IF(T10&lt;&gt;"",T12*(1+UnosPodataka!$M$18)^(-T10),"")</f>
        <v>0</v>
      </c>
      <c r="U13" s="3">
        <f>IF(U10&lt;&gt;"",U12*(1+UnosPodataka!$M$18)^(-U10),"")</f>
        <v>0</v>
      </c>
      <c r="V13" s="3">
        <f>IF(V10&lt;&gt;"",V12*(1+UnosPodataka!$M$18)^(-V10),"")</f>
        <v>0</v>
      </c>
      <c r="W13" s="3">
        <f>IF(W10&lt;&gt;"",W12*(1+UnosPodataka!$M$18)^(-W10),"")</f>
        <v>0</v>
      </c>
      <c r="X13" s="3">
        <f>IF(X10&lt;&gt;"",X12*(1+UnosPodataka!$M$18)^(-X10),"")</f>
        <v>0</v>
      </c>
      <c r="Y13" s="3">
        <f>IF(Y10&lt;&gt;"",Y12*(1+UnosPodataka!$M$18)^(-Y10),"")</f>
        <v>0</v>
      </c>
    </row>
    <row r="15" spans="1:25" x14ac:dyDescent="0.25">
      <c r="A15" s="76" t="s">
        <v>28</v>
      </c>
      <c r="B15" s="76"/>
      <c r="C15" s="76"/>
      <c r="D15" s="76"/>
      <c r="E15" s="17">
        <f>NPV(UnosPodataka!M18,AkoESCO!E12:X12)</f>
        <v>0</v>
      </c>
    </row>
    <row r="16" spans="1:25" x14ac:dyDescent="0.25">
      <c r="A16" s="76" t="s">
        <v>29</v>
      </c>
      <c r="B16" s="76"/>
      <c r="C16" s="76"/>
      <c r="D16" s="76"/>
      <c r="E16" s="6" t="s">
        <v>142</v>
      </c>
    </row>
  </sheetData>
  <mergeCells count="9">
    <mergeCell ref="F3:I3"/>
    <mergeCell ref="A16:D16"/>
    <mergeCell ref="I7:J7"/>
    <mergeCell ref="N7:O7"/>
    <mergeCell ref="A7:D8"/>
    <mergeCell ref="A10:D10"/>
    <mergeCell ref="A12:D12"/>
    <mergeCell ref="A13:D13"/>
    <mergeCell ref="A15:D15"/>
  </mergeCells>
  <hyperlinks>
    <hyperlink ref="I7:J7" location="SALCoEE!A10" display="NAZAD"/>
    <hyperlink ref="N7:O7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E25" sqref="E25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x14ac:dyDescent="0.25">
      <c r="A7" s="69" t="s">
        <v>143</v>
      </c>
      <c r="B7" s="69"/>
      <c r="C7" s="69"/>
      <c r="D7" s="69"/>
    </row>
    <row r="8" spans="1:9" x14ac:dyDescent="0.25">
      <c r="A8" s="69"/>
      <c r="B8" s="69"/>
      <c r="C8" s="69"/>
      <c r="D8" s="69"/>
    </row>
    <row r="9" spans="1:9" x14ac:dyDescent="0.25">
      <c r="A9" s="69"/>
      <c r="B9" s="69"/>
      <c r="C9" s="69"/>
      <c r="D9" s="69"/>
    </row>
    <row r="11" spans="1:9" x14ac:dyDescent="0.25">
      <c r="A11" s="71" t="s">
        <v>138</v>
      </c>
      <c r="B11" s="71"/>
      <c r="D11" s="72" t="s">
        <v>139</v>
      </c>
      <c r="E11" s="72"/>
    </row>
    <row r="12" spans="1:9" x14ac:dyDescent="0.25">
      <c r="A12" s="71"/>
      <c r="B12" s="71"/>
      <c r="D12" s="72"/>
      <c r="E12" s="72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O19" sqref="O19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x14ac:dyDescent="0.25">
      <c r="A7" s="69" t="s">
        <v>146</v>
      </c>
      <c r="B7" s="69"/>
      <c r="C7" s="69"/>
      <c r="D7" s="69"/>
    </row>
    <row r="8" spans="1:9" x14ac:dyDescent="0.25">
      <c r="A8" s="69"/>
      <c r="B8" s="69"/>
      <c r="C8" s="69"/>
      <c r="D8" s="69"/>
    </row>
    <row r="9" spans="1:9" x14ac:dyDescent="0.25">
      <c r="B9" s="76" t="s">
        <v>147</v>
      </c>
      <c r="C9" s="76"/>
      <c r="D9" s="76"/>
      <c r="E9" s="79" t="str">
        <f>PROJEKAT</f>
        <v>Rekonstrukcija distributivne mreže</v>
      </c>
      <c r="F9" s="79"/>
      <c r="G9" s="79"/>
      <c r="H9" s="79"/>
      <c r="I9" s="79"/>
    </row>
    <row r="10" spans="1:9" x14ac:dyDescent="0.25">
      <c r="B10" s="76" t="s">
        <v>148</v>
      </c>
      <c r="C10" s="76"/>
      <c r="D10" s="76"/>
      <c r="E10" s="89">
        <f>Investment</f>
        <v>144000</v>
      </c>
      <c r="F10" s="89"/>
      <c r="G10" s="89"/>
      <c r="H10" s="89"/>
      <c r="I10" s="89"/>
    </row>
    <row r="11" spans="1:9" x14ac:dyDescent="0.25">
      <c r="B11" s="76" t="s">
        <v>149</v>
      </c>
      <c r="C11" s="76"/>
      <c r="D11" s="76"/>
      <c r="E11" s="89">
        <f>SUM(UnosPodataka!F20:F26)-Equity</f>
        <v>30000</v>
      </c>
      <c r="F11" s="89"/>
      <c r="G11" s="89"/>
      <c r="H11" s="89"/>
      <c r="I11" s="89"/>
    </row>
    <row r="12" spans="1:9" x14ac:dyDescent="0.25">
      <c r="B12" s="76" t="s">
        <v>114</v>
      </c>
      <c r="C12" s="76"/>
      <c r="D12" s="76"/>
      <c r="E12" s="89">
        <f>Equity</f>
        <v>25000</v>
      </c>
      <c r="F12" s="89"/>
      <c r="G12" s="89"/>
      <c r="H12" s="89"/>
      <c r="I12" s="89"/>
    </row>
    <row r="13" spans="1:9" x14ac:dyDescent="0.25">
      <c r="B13" s="76" t="s">
        <v>113</v>
      </c>
      <c r="C13" s="76"/>
      <c r="D13" s="76"/>
      <c r="E13" s="89">
        <f>LOAN</f>
        <v>89000</v>
      </c>
      <c r="F13" s="89"/>
      <c r="G13" s="89"/>
      <c r="H13" s="89"/>
      <c r="I13" s="89"/>
    </row>
    <row r="14" spans="1:9" x14ac:dyDescent="0.25">
      <c r="B14" s="76" t="s">
        <v>150</v>
      </c>
      <c r="C14" s="76"/>
      <c r="D14" s="76"/>
      <c r="E14" s="89">
        <f>LCoE</f>
        <v>87.20905931944165</v>
      </c>
      <c r="F14" s="89"/>
      <c r="G14" s="89"/>
      <c r="H14" s="89"/>
      <c r="I14" s="89"/>
    </row>
    <row r="15" spans="1:9" x14ac:dyDescent="0.25">
      <c r="B15" s="76" t="s">
        <v>28</v>
      </c>
      <c r="C15" s="76"/>
      <c r="D15" s="76"/>
      <c r="E15" s="89">
        <f>+FinaIndicators!E43</f>
        <v>-83114.969172431811</v>
      </c>
      <c r="F15" s="89"/>
      <c r="G15" s="89"/>
      <c r="H15" s="89"/>
      <c r="I15" s="89"/>
    </row>
    <row r="16" spans="1:9" x14ac:dyDescent="0.25">
      <c r="B16" s="76" t="s">
        <v>29</v>
      </c>
      <c r="C16" s="76"/>
      <c r="D16" s="76"/>
      <c r="E16" s="88">
        <f>+FinaIndicators!E44</f>
        <v>1.4288484963508541E-2</v>
      </c>
      <c r="F16" s="88"/>
      <c r="G16" s="88"/>
      <c r="H16" s="88"/>
      <c r="I16" s="88"/>
    </row>
    <row r="17" spans="2:9" ht="18" x14ac:dyDescent="0.35">
      <c r="B17" s="76" t="s">
        <v>213</v>
      </c>
      <c r="C17" s="76"/>
      <c r="D17" s="76"/>
      <c r="E17" s="90">
        <f>+'FinInd+CO2'!E44</f>
        <v>2268.8655562652939</v>
      </c>
      <c r="F17" s="79"/>
      <c r="G17" s="79"/>
      <c r="H17" s="79"/>
      <c r="I17" s="79"/>
    </row>
    <row r="18" spans="2:9" ht="18" x14ac:dyDescent="0.35">
      <c r="B18" s="76" t="s">
        <v>214</v>
      </c>
      <c r="C18" s="76"/>
      <c r="D18" s="76"/>
      <c r="E18" s="88">
        <f>+FinaIndicators!E44</f>
        <v>1.4288484963508541E-2</v>
      </c>
      <c r="F18" s="79"/>
      <c r="G18" s="79"/>
      <c r="H18" s="79"/>
      <c r="I18" s="79"/>
    </row>
    <row r="20" spans="2:9" x14ac:dyDescent="0.25">
      <c r="B20" s="71" t="s">
        <v>138</v>
      </c>
      <c r="C20" s="71"/>
    </row>
    <row r="21" spans="2:9" x14ac:dyDescent="0.25">
      <c r="B21" s="71"/>
      <c r="C21" s="71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D23"/>
  <sheetViews>
    <sheetView topLeftCell="B1" zoomScaleNormal="100" workbookViewId="0">
      <selection activeCell="J29" sqref="J29"/>
    </sheetView>
  </sheetViews>
  <sheetFormatPr defaultRowHeight="15" x14ac:dyDescent="0.25"/>
  <cols>
    <col min="3" max="3" width="22.85546875" customWidth="1"/>
  </cols>
  <sheetData>
    <row r="7" spans="3:4" ht="21" x14ac:dyDescent="0.35">
      <c r="C7" s="64" t="s">
        <v>204</v>
      </c>
      <c r="D7" s="57"/>
    </row>
    <row r="8" spans="3:4" ht="18" x14ac:dyDescent="0.35">
      <c r="C8" s="57"/>
      <c r="D8" s="58" t="s">
        <v>205</v>
      </c>
    </row>
    <row r="9" spans="3:4" x14ac:dyDescent="0.25">
      <c r="C9" s="57" t="s">
        <v>21</v>
      </c>
      <c r="D9" s="65">
        <v>0.4</v>
      </c>
    </row>
    <row r="10" spans="3:4" x14ac:dyDescent="0.25">
      <c r="C10" s="57" t="s">
        <v>20</v>
      </c>
      <c r="D10" s="65">
        <v>0.33</v>
      </c>
    </row>
    <row r="11" spans="3:4" x14ac:dyDescent="0.25">
      <c r="C11" s="57" t="s">
        <v>206</v>
      </c>
      <c r="D11" s="65">
        <v>0.34</v>
      </c>
    </row>
    <row r="12" spans="3:4" x14ac:dyDescent="0.25">
      <c r="C12" s="57" t="s">
        <v>207</v>
      </c>
      <c r="D12" s="65">
        <v>0.27</v>
      </c>
    </row>
    <row r="13" spans="3:4" x14ac:dyDescent="0.25">
      <c r="C13" s="57" t="s">
        <v>17</v>
      </c>
      <c r="D13" s="65">
        <v>0.28000000000000003</v>
      </c>
    </row>
    <row r="14" spans="3:4" x14ac:dyDescent="0.25">
      <c r="C14" s="57" t="s">
        <v>14</v>
      </c>
      <c r="D14" s="65">
        <v>0.2</v>
      </c>
    </row>
    <row r="15" spans="3:4" x14ac:dyDescent="0.25">
      <c r="C15" s="57" t="s">
        <v>208</v>
      </c>
      <c r="D15" s="65">
        <v>0.22</v>
      </c>
    </row>
    <row r="16" spans="3:4" x14ac:dyDescent="0.25">
      <c r="C16" s="57" t="s">
        <v>209</v>
      </c>
      <c r="D16" s="65">
        <v>0.49399999999999999</v>
      </c>
    </row>
    <row r="17" spans="3:4" x14ac:dyDescent="0.25">
      <c r="C17" s="57" t="s">
        <v>23</v>
      </c>
      <c r="D17" s="65">
        <v>0</v>
      </c>
    </row>
    <row r="18" spans="3:4" x14ac:dyDescent="0.25">
      <c r="C18" s="57" t="s">
        <v>210</v>
      </c>
      <c r="D18" s="65">
        <v>0.04</v>
      </c>
    </row>
    <row r="19" spans="3:4" x14ac:dyDescent="0.25">
      <c r="C19" s="57" t="s">
        <v>211</v>
      </c>
      <c r="D19" s="65">
        <v>0.28999999999999998</v>
      </c>
    </row>
    <row r="20" spans="3:4" x14ac:dyDescent="0.25">
      <c r="C20" s="57" t="s">
        <v>18</v>
      </c>
      <c r="D20" s="65">
        <v>0.8</v>
      </c>
    </row>
    <row r="21" spans="3:4" x14ac:dyDescent="0.25">
      <c r="C21" s="57" t="s">
        <v>212</v>
      </c>
      <c r="D21" s="65">
        <v>0</v>
      </c>
    </row>
    <row r="22" spans="3:4" x14ac:dyDescent="0.25">
      <c r="C22" s="57" t="s">
        <v>200</v>
      </c>
      <c r="D22" s="57"/>
    </row>
    <row r="23" spans="3:4" x14ac:dyDescent="0.25">
      <c r="C23" s="57" t="s">
        <v>159</v>
      </c>
      <c r="D23" s="65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K26" sqref="K26"/>
    </sheetView>
  </sheetViews>
  <sheetFormatPr defaultRowHeight="15" x14ac:dyDescent="0.25"/>
  <cols>
    <col min="2" max="2" width="25.42578125" customWidth="1"/>
    <col min="3" max="3" width="10.140625" bestFit="1" customWidth="1"/>
  </cols>
  <sheetData>
    <row r="1" spans="1:9" x14ac:dyDescent="0.25">
      <c r="A1" s="57"/>
      <c r="B1" s="57"/>
      <c r="C1" s="57"/>
      <c r="D1" s="57"/>
      <c r="E1" s="57"/>
      <c r="F1" s="57"/>
      <c r="G1" s="57"/>
      <c r="H1" s="57"/>
      <c r="I1" s="57"/>
    </row>
    <row r="2" spans="1:9" x14ac:dyDescent="0.25">
      <c r="A2" s="57"/>
      <c r="B2" s="57"/>
      <c r="C2" s="57"/>
      <c r="D2" s="57"/>
      <c r="E2" s="57"/>
      <c r="F2" s="57"/>
      <c r="G2" s="57"/>
      <c r="H2" s="57"/>
      <c r="I2" s="57"/>
    </row>
    <row r="3" spans="1:9" ht="16.5" x14ac:dyDescent="0.35">
      <c r="A3" s="57"/>
      <c r="B3" s="57"/>
      <c r="C3" s="67" t="s">
        <v>158</v>
      </c>
      <c r="D3" s="67"/>
      <c r="E3" s="67"/>
      <c r="F3" s="67"/>
      <c r="G3" s="66"/>
      <c r="H3" s="57"/>
      <c r="I3" s="57"/>
    </row>
    <row r="4" spans="1:9" x14ac:dyDescent="0.25">
      <c r="A4" s="57"/>
      <c r="B4" s="57"/>
      <c r="C4" s="57"/>
      <c r="D4" s="57"/>
      <c r="E4" s="57"/>
      <c r="F4" s="57"/>
      <c r="G4" s="57"/>
      <c r="H4" s="57"/>
      <c r="I4" s="57"/>
    </row>
    <row r="5" spans="1:9" x14ac:dyDescent="0.25">
      <c r="A5" s="57"/>
      <c r="B5" s="57"/>
      <c r="C5" s="57"/>
      <c r="D5" s="57"/>
      <c r="E5" s="57"/>
      <c r="F5" s="57"/>
      <c r="G5" s="57"/>
      <c r="H5" s="57"/>
      <c r="I5" s="57"/>
    </row>
    <row r="6" spans="1:9" x14ac:dyDescent="0.25">
      <c r="A6" s="57"/>
      <c r="B6" s="57"/>
      <c r="C6" s="57"/>
      <c r="D6" s="57"/>
      <c r="E6" s="57"/>
      <c r="F6" s="57"/>
      <c r="G6" s="57"/>
      <c r="H6" s="57"/>
      <c r="I6" s="57"/>
    </row>
    <row r="7" spans="1:9" ht="21" x14ac:dyDescent="0.35">
      <c r="A7" s="57"/>
      <c r="B7" s="74" t="s">
        <v>194</v>
      </c>
      <c r="C7" s="74"/>
      <c r="D7" s="74"/>
      <c r="E7" s="74"/>
      <c r="F7" s="74"/>
      <c r="G7" s="74"/>
      <c r="H7" s="57"/>
      <c r="I7" s="57"/>
    </row>
    <row r="8" spans="1:9" x14ac:dyDescent="0.25">
      <c r="A8" s="57"/>
      <c r="B8" s="58"/>
      <c r="C8" s="58"/>
      <c r="D8" s="58"/>
      <c r="E8" s="58"/>
      <c r="F8" s="58"/>
      <c r="G8" s="58"/>
      <c r="H8" s="57"/>
      <c r="I8" s="57"/>
    </row>
    <row r="9" spans="1:9" ht="15" customHeight="1" x14ac:dyDescent="0.25">
      <c r="A9" s="57"/>
      <c r="B9" s="75" t="s">
        <v>195</v>
      </c>
      <c r="C9" s="75" t="s">
        <v>196</v>
      </c>
      <c r="D9" s="75" t="s">
        <v>197</v>
      </c>
      <c r="E9" s="75" t="s">
        <v>198</v>
      </c>
      <c r="F9" s="57"/>
      <c r="G9" s="57"/>
      <c r="H9" s="57"/>
      <c r="I9" s="57"/>
    </row>
    <row r="10" spans="1:9" x14ac:dyDescent="0.25">
      <c r="A10" s="57"/>
      <c r="B10" s="75"/>
      <c r="C10" s="75"/>
      <c r="D10" s="75"/>
      <c r="E10" s="75"/>
      <c r="F10" s="57"/>
      <c r="G10" s="57"/>
      <c r="H10" s="57"/>
      <c r="I10" s="57"/>
    </row>
    <row r="11" spans="1:9" ht="18" x14ac:dyDescent="0.35">
      <c r="A11" s="57"/>
      <c r="B11" s="19"/>
      <c r="C11" s="56" t="s">
        <v>25</v>
      </c>
      <c r="D11" s="56" t="s">
        <v>97</v>
      </c>
      <c r="E11" s="56" t="s">
        <v>199</v>
      </c>
      <c r="F11" s="57"/>
      <c r="G11" s="57"/>
      <c r="H11" s="57"/>
      <c r="I11" s="57"/>
    </row>
    <row r="12" spans="1:9" x14ac:dyDescent="0.25">
      <c r="A12" s="57"/>
      <c r="B12" s="59" t="s">
        <v>211</v>
      </c>
      <c r="C12" s="60">
        <v>36000</v>
      </c>
      <c r="D12" s="61">
        <f>IF(B12&lt;&gt;"Gorivo",VLOOKUP(B12,[1]Goriva!B9:C22,2,FALSE),"")</f>
        <v>0.28999999999999998</v>
      </c>
      <c r="E12" s="62">
        <f>IF(B12&lt;&gt;"Gorivo",C12*D12,"")</f>
        <v>10440</v>
      </c>
      <c r="F12" s="57"/>
      <c r="G12" s="57"/>
      <c r="H12" s="57"/>
      <c r="I12" s="57"/>
    </row>
    <row r="13" spans="1:9" x14ac:dyDescent="0.25">
      <c r="A13" s="57"/>
      <c r="B13" s="59" t="s">
        <v>210</v>
      </c>
      <c r="C13" s="60">
        <v>359000</v>
      </c>
      <c r="D13" s="61">
        <f>IF(B13&lt;&gt;"Gorivo",VLOOKUP(B13,[1]Goriva!B10:C23,2,FALSE),"")</f>
        <v>0.04</v>
      </c>
      <c r="E13" s="62">
        <f t="shared" ref="E13:E17" si="0">IF(B13&lt;&gt;"Gorivo",C13*D13,"")</f>
        <v>14360</v>
      </c>
      <c r="F13" s="57"/>
      <c r="G13" s="57"/>
      <c r="H13" s="57"/>
      <c r="I13" s="57"/>
    </row>
    <row r="14" spans="1:9" x14ac:dyDescent="0.25">
      <c r="A14" s="57"/>
      <c r="B14" s="59" t="s">
        <v>200</v>
      </c>
      <c r="C14" s="60"/>
      <c r="D14" s="61" t="str">
        <f>IF(B14&lt;&gt;"Gorivo",VLOOKUP(B14,[1]Goriva!B11:C24,2,FALSE),"")</f>
        <v/>
      </c>
      <c r="E14" s="62" t="str">
        <f t="shared" si="0"/>
        <v/>
      </c>
      <c r="F14" s="57"/>
      <c r="G14" s="57"/>
      <c r="H14" s="57"/>
      <c r="I14" s="57"/>
    </row>
    <row r="15" spans="1:9" x14ac:dyDescent="0.25">
      <c r="A15" s="57"/>
      <c r="B15" s="59" t="s">
        <v>200</v>
      </c>
      <c r="C15" s="60"/>
      <c r="D15" s="61" t="str">
        <f>IF(B15&lt;&gt;"Gorivo",VLOOKUP(B15,[1]Goriva!B12:C25,2,FALSE),"")</f>
        <v/>
      </c>
      <c r="E15" s="62" t="str">
        <f t="shared" si="0"/>
        <v/>
      </c>
      <c r="F15" s="57"/>
      <c r="G15" s="57"/>
      <c r="H15" s="57"/>
      <c r="I15" s="57"/>
    </row>
    <row r="16" spans="1:9" x14ac:dyDescent="0.25">
      <c r="A16" s="57"/>
      <c r="B16" s="59" t="s">
        <v>200</v>
      </c>
      <c r="C16" s="60"/>
      <c r="D16" s="61" t="str">
        <f>IF(B16&lt;&gt;"Gorivo",VLOOKUP(B16,[1]Goriva!B13:C26,2,FALSE),"")</f>
        <v/>
      </c>
      <c r="E16" s="62" t="str">
        <f t="shared" si="0"/>
        <v/>
      </c>
      <c r="F16" s="57"/>
      <c r="G16" s="57"/>
      <c r="H16" s="57"/>
      <c r="I16" s="57"/>
    </row>
    <row r="17" spans="1:9" x14ac:dyDescent="0.25">
      <c r="A17" s="57"/>
      <c r="B17" s="59" t="s">
        <v>200</v>
      </c>
      <c r="C17" s="60"/>
      <c r="D17" s="61" t="str">
        <f>IF(B17&lt;&gt;"Gorivo",VLOOKUP(B17,[1]Goriva!B14:C27,2,FALSE),"")</f>
        <v/>
      </c>
      <c r="E17" s="62" t="str">
        <f t="shared" si="0"/>
        <v/>
      </c>
      <c r="F17" s="57"/>
      <c r="G17" s="57"/>
      <c r="H17" s="57"/>
      <c r="I17" s="57"/>
    </row>
    <row r="18" spans="1:9" x14ac:dyDescent="0.25">
      <c r="A18" s="57"/>
      <c r="B18" s="19" t="s">
        <v>201</v>
      </c>
      <c r="C18" s="62">
        <f>SUM(C12:C17)</f>
        <v>395000</v>
      </c>
      <c r="D18" s="61"/>
      <c r="E18" s="62">
        <f>SUM(E12:E17)</f>
        <v>24800</v>
      </c>
      <c r="F18" s="57"/>
      <c r="G18" s="57"/>
      <c r="H18" s="57"/>
      <c r="I18" s="57"/>
    </row>
    <row r="19" spans="1:9" x14ac:dyDescent="0.25">
      <c r="A19" s="57"/>
      <c r="B19" s="57"/>
      <c r="C19" s="57"/>
      <c r="D19" s="57"/>
      <c r="E19" s="57"/>
      <c r="F19" s="57"/>
      <c r="G19" s="57"/>
      <c r="H19" s="57"/>
      <c r="I19" s="57"/>
    </row>
    <row r="20" spans="1:9" ht="18" customHeight="1" x14ac:dyDescent="0.35">
      <c r="A20" s="57"/>
      <c r="B20" s="73" t="s">
        <v>202</v>
      </c>
      <c r="C20" s="73"/>
      <c r="D20" s="73"/>
      <c r="E20" s="56" t="s">
        <v>203</v>
      </c>
      <c r="F20" s="57"/>
      <c r="G20" s="57"/>
      <c r="H20" s="57"/>
      <c r="I20" s="57"/>
    </row>
    <row r="21" spans="1:9" x14ac:dyDescent="0.25">
      <c r="A21" s="57"/>
      <c r="B21" s="73"/>
      <c r="C21" s="73"/>
      <c r="D21" s="73"/>
      <c r="E21" s="63">
        <f>E18/C18</f>
        <v>6.2784810126582283E-2</v>
      </c>
      <c r="F21" s="57"/>
      <c r="G21" s="57"/>
      <c r="H21" s="57"/>
      <c r="I21" s="57"/>
    </row>
  </sheetData>
  <mergeCells count="7">
    <mergeCell ref="C3:F3"/>
    <mergeCell ref="B20:D21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Gorivo!$C$9:$C$23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P40"/>
  <sheetViews>
    <sheetView workbookViewId="0">
      <selection activeCell="C3" sqref="C3:F3"/>
    </sheetView>
  </sheetViews>
  <sheetFormatPr defaultRowHeight="15" x14ac:dyDescent="0.25"/>
  <cols>
    <col min="2" max="2" width="36.42578125" customWidth="1"/>
    <col min="7" max="7" width="10.28515625" customWidth="1"/>
    <col min="11" max="11" width="10.140625" bestFit="1" customWidth="1"/>
    <col min="13" max="13" width="10.140625" customWidth="1"/>
  </cols>
  <sheetData>
    <row r="3" spans="1:14" ht="16.5" x14ac:dyDescent="0.35">
      <c r="C3" s="67" t="s">
        <v>158</v>
      </c>
      <c r="D3" s="67"/>
      <c r="E3" s="67"/>
      <c r="F3" s="67"/>
    </row>
    <row r="7" spans="1:14" ht="15" customHeight="1" x14ac:dyDescent="0.25">
      <c r="A7" s="15" t="s">
        <v>32</v>
      </c>
      <c r="B7" t="s">
        <v>33</v>
      </c>
      <c r="E7">
        <v>1</v>
      </c>
      <c r="G7" s="19" t="s">
        <v>11</v>
      </c>
      <c r="H7" t="s">
        <v>50</v>
      </c>
      <c r="M7" s="19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52</v>
      </c>
      <c r="N9" t="s">
        <v>6</v>
      </c>
    </row>
    <row r="10" spans="1:14" x14ac:dyDescent="0.25">
      <c r="B10" t="s">
        <v>36</v>
      </c>
      <c r="E10">
        <v>4</v>
      </c>
      <c r="H10" t="s">
        <v>53</v>
      </c>
      <c r="N10" t="s">
        <v>7</v>
      </c>
    </row>
    <row r="11" spans="1:14" x14ac:dyDescent="0.25">
      <c r="B11" t="s">
        <v>37</v>
      </c>
      <c r="E11">
        <v>5</v>
      </c>
      <c r="H11" t="s">
        <v>54</v>
      </c>
      <c r="N11" t="s">
        <v>8</v>
      </c>
    </row>
    <row r="12" spans="1:14" x14ac:dyDescent="0.25">
      <c r="B12" t="s">
        <v>38</v>
      </c>
      <c r="E12">
        <v>6</v>
      </c>
      <c r="H12" t="s">
        <v>55</v>
      </c>
      <c r="N12" t="s">
        <v>9</v>
      </c>
    </row>
    <row r="13" spans="1:14" x14ac:dyDescent="0.25">
      <c r="B13" t="s">
        <v>39</v>
      </c>
      <c r="E13">
        <v>7</v>
      </c>
      <c r="H13" t="s">
        <v>56</v>
      </c>
    </row>
    <row r="14" spans="1:14" x14ac:dyDescent="0.25">
      <c r="B14" t="s">
        <v>40</v>
      </c>
      <c r="E14">
        <v>8</v>
      </c>
      <c r="H14" t="s">
        <v>12</v>
      </c>
    </row>
    <row r="15" spans="1:14" x14ac:dyDescent="0.25">
      <c r="B15" t="s">
        <v>41</v>
      </c>
      <c r="E15">
        <v>9</v>
      </c>
      <c r="G15" s="11"/>
      <c r="H15" t="s">
        <v>57</v>
      </c>
      <c r="M15" s="19" t="s">
        <v>10</v>
      </c>
      <c r="N15" t="s">
        <v>59</v>
      </c>
    </row>
    <row r="16" spans="1:14" x14ac:dyDescent="0.25">
      <c r="B16" t="s">
        <v>42</v>
      </c>
      <c r="E16">
        <v>10</v>
      </c>
      <c r="G16" s="11"/>
      <c r="H16" t="s">
        <v>58</v>
      </c>
      <c r="N16" t="s">
        <v>60</v>
      </c>
    </row>
    <row r="17" spans="2:16" x14ac:dyDescent="0.25">
      <c r="B17" t="s">
        <v>43</v>
      </c>
      <c r="E17">
        <v>11</v>
      </c>
      <c r="N17" t="s">
        <v>61</v>
      </c>
    </row>
    <row r="18" spans="2:16" x14ac:dyDescent="0.25">
      <c r="B18" t="s">
        <v>44</v>
      </c>
      <c r="E18">
        <v>12</v>
      </c>
      <c r="N18" t="s">
        <v>62</v>
      </c>
    </row>
    <row r="19" spans="2:16" ht="18" x14ac:dyDescent="0.35">
      <c r="B19" t="s">
        <v>45</v>
      </c>
      <c r="E19">
        <v>13</v>
      </c>
      <c r="N19" t="s">
        <v>63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76" t="s">
        <v>152</v>
      </c>
      <c r="I21" s="76"/>
      <c r="J21" s="76"/>
      <c r="M21" s="19" t="s">
        <v>12</v>
      </c>
      <c r="N21" t="s">
        <v>64</v>
      </c>
    </row>
    <row r="22" spans="2:16" x14ac:dyDescent="0.25">
      <c r="B22" t="s">
        <v>48</v>
      </c>
      <c r="E22">
        <v>16</v>
      </c>
      <c r="I22" t="s">
        <v>153</v>
      </c>
      <c r="K22" s="3">
        <f>+UnosPodataka!F21</f>
        <v>30000</v>
      </c>
      <c r="L22" s="18">
        <v>0</v>
      </c>
      <c r="N22" t="s">
        <v>65</v>
      </c>
    </row>
    <row r="23" spans="2:16" x14ac:dyDescent="0.25">
      <c r="B23" t="s">
        <v>49</v>
      </c>
      <c r="E23">
        <v>17</v>
      </c>
      <c r="I23" t="s">
        <v>154</v>
      </c>
      <c r="K23" s="3">
        <f>+LOAN</f>
        <v>89000</v>
      </c>
      <c r="L23" s="18">
        <v>0.12</v>
      </c>
      <c r="N23" t="s">
        <v>66</v>
      </c>
    </row>
    <row r="24" spans="2:16" x14ac:dyDescent="0.25">
      <c r="B24" t="s">
        <v>12</v>
      </c>
      <c r="I24" t="s">
        <v>155</v>
      </c>
      <c r="K24" s="3">
        <f>+Equity</f>
        <v>25000</v>
      </c>
      <c r="L24" s="7">
        <v>5.8299999999999998E-2</v>
      </c>
      <c r="N24" t="s">
        <v>67</v>
      </c>
    </row>
    <row r="25" spans="2:16" x14ac:dyDescent="0.25">
      <c r="B25" s="14">
        <f>VLOOKUP(Pocetna!M12,B7:E23,4,FALSE)</f>
        <v>10</v>
      </c>
      <c r="J25" t="s">
        <v>156</v>
      </c>
      <c r="K25" s="3">
        <f>SUM(K22:K24)</f>
        <v>144000</v>
      </c>
      <c r="L25" s="7">
        <f>+(K22*L22+K23*L23+K24*L24)/K25</f>
        <v>8.428819444444445E-2</v>
      </c>
      <c r="N25" t="s">
        <v>68</v>
      </c>
    </row>
    <row r="26" spans="2:16" x14ac:dyDescent="0.25">
      <c r="B26" s="10"/>
      <c r="N26" t="s">
        <v>157</v>
      </c>
    </row>
    <row r="27" spans="2:16" x14ac:dyDescent="0.25">
      <c r="N27" t="s">
        <v>69</v>
      </c>
    </row>
    <row r="28" spans="2:16" x14ac:dyDescent="0.25">
      <c r="B28" s="24"/>
      <c r="M28" s="19" t="s">
        <v>13</v>
      </c>
    </row>
    <row r="29" spans="2:16" x14ac:dyDescent="0.25">
      <c r="B29" s="25"/>
      <c r="N29" s="35" t="s">
        <v>14</v>
      </c>
      <c r="O29" s="35"/>
      <c r="P29" s="36">
        <v>0.2</v>
      </c>
    </row>
    <row r="30" spans="2:16" x14ac:dyDescent="0.25">
      <c r="N30" s="35" t="s">
        <v>15</v>
      </c>
      <c r="O30" s="35"/>
      <c r="P30" s="36">
        <v>0.22</v>
      </c>
    </row>
    <row r="31" spans="2:16" x14ac:dyDescent="0.25">
      <c r="N31" s="35" t="s">
        <v>16</v>
      </c>
      <c r="O31" s="35"/>
      <c r="P31" s="36">
        <v>0.27</v>
      </c>
    </row>
    <row r="32" spans="2:16" x14ac:dyDescent="0.25">
      <c r="N32" s="35" t="s">
        <v>17</v>
      </c>
      <c r="O32" s="35"/>
      <c r="P32" s="36">
        <v>0.28000000000000003</v>
      </c>
    </row>
    <row r="33" spans="14:16" x14ac:dyDescent="0.25">
      <c r="N33" s="35" t="s">
        <v>18</v>
      </c>
      <c r="O33" s="35"/>
      <c r="P33" s="36">
        <v>0.8</v>
      </c>
    </row>
    <row r="34" spans="14:16" x14ac:dyDescent="0.25">
      <c r="N34" s="35" t="s">
        <v>19</v>
      </c>
      <c r="O34" s="35"/>
      <c r="P34" s="36">
        <v>0.49399999999999999</v>
      </c>
    </row>
    <row r="35" spans="14:16" x14ac:dyDescent="0.25">
      <c r="N35" s="35" t="s">
        <v>23</v>
      </c>
      <c r="O35" s="35"/>
      <c r="P35" s="36">
        <v>0</v>
      </c>
    </row>
    <row r="36" spans="14:16" x14ac:dyDescent="0.25">
      <c r="N36" s="35" t="s">
        <v>20</v>
      </c>
      <c r="O36" s="35"/>
      <c r="P36" s="36">
        <v>0.4</v>
      </c>
    </row>
    <row r="37" spans="14:16" x14ac:dyDescent="0.25">
      <c r="N37" s="35" t="s">
        <v>21</v>
      </c>
      <c r="O37" s="35"/>
      <c r="P37" s="36">
        <v>0.33</v>
      </c>
    </row>
    <row r="38" spans="14:16" x14ac:dyDescent="0.25">
      <c r="N38" s="35" t="s">
        <v>22</v>
      </c>
      <c r="O38" s="35"/>
      <c r="P38" s="36">
        <v>0</v>
      </c>
    </row>
    <row r="39" spans="14:16" x14ac:dyDescent="0.25">
      <c r="N39" s="35" t="s">
        <v>151</v>
      </c>
      <c r="O39" s="35"/>
      <c r="P39" s="37">
        <f>SUM(KonvFaktor!E21)</f>
        <v>6.2784810126582283E-2</v>
      </c>
    </row>
    <row r="40" spans="14:16" x14ac:dyDescent="0.25">
      <c r="N40" s="35" t="s">
        <v>159</v>
      </c>
      <c r="P40" s="36">
        <v>0.22</v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ignoredErrors>
    <ignoredError sqref="P39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workbookViewId="0">
      <selection activeCell="R24" sqref="R24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67" t="s">
        <v>158</v>
      </c>
      <c r="G3" s="67"/>
      <c r="H3" s="67"/>
      <c r="I3" s="67"/>
    </row>
    <row r="7" spans="2:16" x14ac:dyDescent="0.25">
      <c r="B7" s="81" t="s">
        <v>103</v>
      </c>
      <c r="C7" s="81"/>
      <c r="D7" s="81"/>
      <c r="E7" s="81"/>
      <c r="F7" s="1" t="s">
        <v>1</v>
      </c>
      <c r="I7" s="80" t="s">
        <v>103</v>
      </c>
      <c r="J7" s="80"/>
      <c r="K7" s="80"/>
      <c r="L7" s="80"/>
      <c r="M7" s="1" t="s">
        <v>24</v>
      </c>
      <c r="O7" s="72" t="s">
        <v>139</v>
      </c>
      <c r="P7" s="72"/>
    </row>
    <row r="8" spans="2:16" x14ac:dyDescent="0.25">
      <c r="O8" s="72"/>
      <c r="P8" s="72"/>
    </row>
    <row r="9" spans="2:16" x14ac:dyDescent="0.25">
      <c r="B9" s="77" t="s">
        <v>50</v>
      </c>
      <c r="C9" s="77"/>
      <c r="D9" s="77"/>
      <c r="E9" s="77"/>
      <c r="F9" s="8">
        <v>5000</v>
      </c>
      <c r="I9" s="78" t="s">
        <v>59</v>
      </c>
      <c r="J9" s="78"/>
      <c r="K9" s="78"/>
      <c r="L9" s="78"/>
      <c r="M9" s="3">
        <v>0</v>
      </c>
    </row>
    <row r="10" spans="2:16" x14ac:dyDescent="0.25">
      <c r="B10" s="77" t="s">
        <v>51</v>
      </c>
      <c r="C10" s="77"/>
      <c r="D10" s="77"/>
      <c r="E10" s="77"/>
      <c r="F10" s="8">
        <v>2000</v>
      </c>
      <c r="I10" s="78" t="s">
        <v>60</v>
      </c>
      <c r="J10" s="78"/>
      <c r="K10" s="78"/>
      <c r="L10" s="78"/>
      <c r="M10" s="7">
        <v>1</v>
      </c>
      <c r="O10" s="71" t="s">
        <v>138</v>
      </c>
      <c r="P10" s="71"/>
    </row>
    <row r="11" spans="2:16" x14ac:dyDescent="0.25">
      <c r="B11" s="77" t="s">
        <v>52</v>
      </c>
      <c r="C11" s="77"/>
      <c r="D11" s="77"/>
      <c r="E11" s="77"/>
      <c r="F11" s="8">
        <v>80000</v>
      </c>
      <c r="I11" s="78" t="s">
        <v>61</v>
      </c>
      <c r="J11" s="78"/>
      <c r="K11" s="78"/>
      <c r="L11" s="78"/>
      <c r="M11" s="20">
        <v>0.03</v>
      </c>
      <c r="O11" s="71"/>
      <c r="P11" s="71"/>
    </row>
    <row r="12" spans="2:16" x14ac:dyDescent="0.25">
      <c r="B12" s="77" t="s">
        <v>53</v>
      </c>
      <c r="C12" s="77"/>
      <c r="D12" s="77"/>
      <c r="E12" s="77"/>
      <c r="F12" s="8">
        <v>20000</v>
      </c>
      <c r="I12" s="78" t="s">
        <v>62</v>
      </c>
      <c r="J12" s="78"/>
      <c r="K12" s="78"/>
      <c r="L12" s="78"/>
      <c r="M12" s="20">
        <v>2.5000000000000001E-2</v>
      </c>
    </row>
    <row r="13" spans="2:16" x14ac:dyDescent="0.25">
      <c r="B13" s="77" t="s">
        <v>54</v>
      </c>
      <c r="C13" s="77"/>
      <c r="D13" s="77"/>
      <c r="E13" s="77"/>
      <c r="F13" s="8">
        <v>25000</v>
      </c>
      <c r="I13" s="78" t="s">
        <v>106</v>
      </c>
      <c r="J13" s="78"/>
      <c r="K13" s="78"/>
      <c r="L13" s="78"/>
      <c r="M13" s="21">
        <v>97.44</v>
      </c>
    </row>
    <row r="14" spans="2:16" x14ac:dyDescent="0.25">
      <c r="B14" s="77" t="s">
        <v>55</v>
      </c>
      <c r="C14" s="77"/>
      <c r="D14" s="77"/>
      <c r="E14" s="77"/>
      <c r="F14" s="8">
        <v>1500</v>
      </c>
      <c r="I14" s="23"/>
      <c r="J14" s="23"/>
      <c r="K14" s="23"/>
      <c r="L14" s="23"/>
      <c r="M14" s="21"/>
    </row>
    <row r="15" spans="2:16" x14ac:dyDescent="0.25">
      <c r="B15" s="77" t="s">
        <v>56</v>
      </c>
      <c r="C15" s="77"/>
      <c r="D15" s="77"/>
      <c r="E15" s="77"/>
      <c r="F15" s="8">
        <v>1500</v>
      </c>
      <c r="I15" s="23"/>
      <c r="J15" s="23"/>
      <c r="K15" s="23"/>
      <c r="L15" s="23"/>
      <c r="M15" s="21"/>
    </row>
    <row r="16" spans="2:16" x14ac:dyDescent="0.25">
      <c r="B16" s="77" t="s">
        <v>12</v>
      </c>
      <c r="C16" s="77"/>
      <c r="D16" s="77"/>
      <c r="E16" s="77"/>
      <c r="F16" s="8">
        <v>2000</v>
      </c>
      <c r="I16" s="23"/>
      <c r="J16" s="23"/>
      <c r="K16" s="23"/>
      <c r="L16" s="23"/>
      <c r="M16" s="21"/>
    </row>
    <row r="17" spans="2:13" x14ac:dyDescent="0.25">
      <c r="B17" s="77" t="s">
        <v>57</v>
      </c>
      <c r="C17" s="77"/>
      <c r="D17" s="77"/>
      <c r="E17" s="77"/>
      <c r="F17" s="8">
        <v>2000</v>
      </c>
      <c r="I17" s="79"/>
      <c r="J17" s="79"/>
      <c r="K17" s="79"/>
      <c r="L17" s="79"/>
      <c r="M17" s="7"/>
    </row>
    <row r="18" spans="2:13" x14ac:dyDescent="0.25">
      <c r="B18" s="77" t="s">
        <v>58</v>
      </c>
      <c r="C18" s="77"/>
      <c r="D18" s="77"/>
      <c r="E18" s="77"/>
      <c r="F18" s="8">
        <v>5000</v>
      </c>
      <c r="I18" s="78" t="s">
        <v>67</v>
      </c>
      <c r="J18" s="78"/>
      <c r="K18" s="78"/>
      <c r="L18" s="78"/>
      <c r="M18" s="20">
        <v>0.06</v>
      </c>
    </row>
    <row r="19" spans="2:13" x14ac:dyDescent="0.25">
      <c r="E19" s="4" t="s">
        <v>104</v>
      </c>
      <c r="F19" s="3">
        <f>SUM(F9:F18)</f>
        <v>144000</v>
      </c>
      <c r="I19" s="78" t="s">
        <v>68</v>
      </c>
      <c r="J19" s="78"/>
      <c r="K19" s="78"/>
      <c r="L19" s="78"/>
      <c r="M19" s="20">
        <v>0.12</v>
      </c>
    </row>
    <row r="20" spans="2:13" x14ac:dyDescent="0.25">
      <c r="I20" s="78" t="s">
        <v>157</v>
      </c>
      <c r="J20" s="78"/>
      <c r="K20" s="78"/>
      <c r="L20" s="78"/>
      <c r="M20" s="20">
        <v>5.8299999999999998E-2</v>
      </c>
    </row>
    <row r="21" spans="2:13" x14ac:dyDescent="0.25">
      <c r="B21" s="78" t="s">
        <v>5</v>
      </c>
      <c r="C21" s="78"/>
      <c r="D21" s="78"/>
      <c r="E21" s="78"/>
      <c r="F21" s="8">
        <v>30000</v>
      </c>
      <c r="I21" s="78" t="s">
        <v>65</v>
      </c>
      <c r="J21" s="78"/>
      <c r="K21" s="78"/>
      <c r="L21" s="78"/>
      <c r="M21" s="22">
        <v>8</v>
      </c>
    </row>
    <row r="22" spans="2:13" x14ac:dyDescent="0.25">
      <c r="B22" s="78"/>
      <c r="C22" s="78"/>
      <c r="D22" s="78"/>
      <c r="E22" s="78"/>
      <c r="F22" s="8"/>
      <c r="I22" s="78" t="s">
        <v>69</v>
      </c>
      <c r="J22" s="78"/>
      <c r="K22" s="78"/>
      <c r="L22" s="78"/>
      <c r="M22" s="8" t="s">
        <v>21</v>
      </c>
    </row>
    <row r="23" spans="2:13" x14ac:dyDescent="0.25">
      <c r="B23" s="78"/>
      <c r="C23" s="78"/>
      <c r="D23" s="78"/>
      <c r="E23" s="78"/>
      <c r="F23" s="3"/>
      <c r="I23" s="78" t="s">
        <v>107</v>
      </c>
      <c r="J23" s="78"/>
      <c r="K23" s="78"/>
      <c r="L23" s="78"/>
      <c r="M23" s="3">
        <f>VLOOKUP(M22,PomTab1!N29:P40,3,FALSE)</f>
        <v>0.33</v>
      </c>
    </row>
    <row r="24" spans="2:13" x14ac:dyDescent="0.25">
      <c r="B24" s="78"/>
      <c r="C24" s="78"/>
      <c r="D24" s="78"/>
      <c r="E24" s="78"/>
      <c r="I24" s="78" t="s">
        <v>66</v>
      </c>
      <c r="J24" s="78"/>
      <c r="K24" s="78"/>
      <c r="L24" s="78"/>
      <c r="M24" s="9">
        <v>20</v>
      </c>
    </row>
    <row r="25" spans="2:13" x14ac:dyDescent="0.25">
      <c r="B25" s="78"/>
      <c r="C25" s="78"/>
      <c r="D25" s="78"/>
      <c r="E25" s="78"/>
    </row>
    <row r="26" spans="2:13" x14ac:dyDescent="0.25">
      <c r="B26" s="78" t="s">
        <v>9</v>
      </c>
      <c r="C26" s="78"/>
      <c r="D26" s="78"/>
      <c r="E26" s="78"/>
      <c r="F26" s="8">
        <v>25000</v>
      </c>
      <c r="M26" s="12"/>
    </row>
    <row r="27" spans="2:13" x14ac:dyDescent="0.25">
      <c r="E27" s="5" t="s">
        <v>104</v>
      </c>
      <c r="F27" s="3">
        <f>IF(SUM(F21:F26)&gt;F19,FALSE,SUM(F21:F26))</f>
        <v>55000</v>
      </c>
      <c r="M27" s="3"/>
    </row>
    <row r="28" spans="2:13" x14ac:dyDescent="0.25">
      <c r="F28" s="3"/>
      <c r="M28" s="12"/>
    </row>
    <row r="29" spans="2:13" x14ac:dyDescent="0.25">
      <c r="E29" s="4" t="s">
        <v>105</v>
      </c>
      <c r="F29" s="3">
        <f>F19-F27</f>
        <v>89000</v>
      </c>
    </row>
    <row r="31" spans="2:13" x14ac:dyDescent="0.25">
      <c r="G31" s="6"/>
      <c r="H31" s="54"/>
    </row>
  </sheetData>
  <sheetProtection selectLockedCells="1"/>
  <mergeCells count="34"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I22:L22"/>
    <mergeCell ref="I23:L23"/>
    <mergeCell ref="F3:I3"/>
    <mergeCell ref="I18:L18"/>
    <mergeCell ref="I17:L17"/>
    <mergeCell ref="I24:L24"/>
    <mergeCell ref="I20:L20"/>
    <mergeCell ref="I19:L19"/>
    <mergeCell ref="I21:L21"/>
    <mergeCell ref="O7:P8"/>
    <mergeCell ref="O10:P11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  <mergeCell ref="B10:E10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/>
    <dataValidation type="whole" allowBlank="1" showInputMessage="1" showErrorMessage="1" errorTitle="Restriction" error="Iznos ne može biti veći od 110 EUR/t CO2" promptTitle="CO2TAX" sqref="M14:M16">
      <formula1>0</formula1>
      <formula2>110</formula2>
    </dataValidation>
  </dataValidations>
  <hyperlinks>
    <hyperlink ref="O7:P8" location="Ustede!A2" display="DALJE"/>
    <hyperlink ref="O10:P11" location="Pocetna!M9" display="NAZAD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I22:L23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20"/>
  <sheetViews>
    <sheetView workbookViewId="0">
      <selection activeCell="K9" sqref="K9:M10"/>
    </sheetView>
  </sheetViews>
  <sheetFormatPr defaultRowHeight="15" x14ac:dyDescent="0.25"/>
  <cols>
    <col min="6" max="6" width="12.42578125" customWidth="1"/>
    <col min="7" max="7" width="13.5703125" customWidth="1"/>
    <col min="8" max="8" width="26.42578125" customWidth="1"/>
    <col min="9" max="9" width="16.140625" customWidth="1"/>
  </cols>
  <sheetData>
    <row r="3" spans="1:16" ht="16.5" x14ac:dyDescent="0.35">
      <c r="F3" s="67" t="s">
        <v>158</v>
      </c>
      <c r="G3" s="67"/>
      <c r="H3" s="67"/>
      <c r="I3" s="67"/>
    </row>
    <row r="7" spans="1:16" ht="21" x14ac:dyDescent="0.35">
      <c r="A7" s="74" t="s">
        <v>83</v>
      </c>
      <c r="B7" s="74"/>
      <c r="C7" s="74"/>
      <c r="D7" s="74"/>
      <c r="E7" s="74"/>
      <c r="F7" s="74"/>
    </row>
    <row r="9" spans="1:16" x14ac:dyDescent="0.25">
      <c r="A9" t="s">
        <v>84</v>
      </c>
      <c r="F9" s="28">
        <v>7000</v>
      </c>
      <c r="G9" s="6" t="s">
        <v>94</v>
      </c>
      <c r="H9" s="2" t="s">
        <v>99</v>
      </c>
      <c r="I9" t="s">
        <v>70</v>
      </c>
      <c r="J9" s="6" t="s">
        <v>71</v>
      </c>
      <c r="L9" s="71" t="s">
        <v>138</v>
      </c>
      <c r="M9" s="71"/>
      <c r="O9" s="72" t="s">
        <v>139</v>
      </c>
      <c r="P9" s="72"/>
    </row>
    <row r="10" spans="1:16" x14ac:dyDescent="0.25">
      <c r="A10" t="s">
        <v>85</v>
      </c>
      <c r="F10" s="29">
        <v>4500</v>
      </c>
      <c r="G10" s="6" t="s">
        <v>95</v>
      </c>
      <c r="H10" s="82" t="s">
        <v>100</v>
      </c>
      <c r="I10" s="26" t="s">
        <v>72</v>
      </c>
      <c r="J10" s="27">
        <v>10.776999999999999</v>
      </c>
      <c r="L10" s="71"/>
      <c r="M10" s="71"/>
      <c r="O10" s="72"/>
      <c r="P10" s="72"/>
    </row>
    <row r="11" spans="1:16" x14ac:dyDescent="0.25">
      <c r="A11" t="s">
        <v>86</v>
      </c>
      <c r="F11" s="29">
        <v>3570</v>
      </c>
      <c r="G11" s="6" t="s">
        <v>95</v>
      </c>
      <c r="H11" s="82"/>
      <c r="I11" s="26" t="s">
        <v>73</v>
      </c>
      <c r="J11" s="27">
        <v>12.632999999999999</v>
      </c>
    </row>
    <row r="12" spans="1:16" ht="17.25" x14ac:dyDescent="0.25">
      <c r="A12" t="s">
        <v>87</v>
      </c>
      <c r="F12" s="30">
        <v>60</v>
      </c>
      <c r="G12" s="6" t="s">
        <v>96</v>
      </c>
      <c r="H12" s="82"/>
      <c r="I12" s="26" t="s">
        <v>74</v>
      </c>
      <c r="J12" s="27">
        <v>13.029</v>
      </c>
    </row>
    <row r="13" spans="1:16" ht="17.25" x14ac:dyDescent="0.25">
      <c r="A13" t="s">
        <v>88</v>
      </c>
      <c r="F13" s="30">
        <v>12</v>
      </c>
      <c r="G13" s="6" t="s">
        <v>96</v>
      </c>
      <c r="H13" s="82"/>
      <c r="I13" s="26" t="s">
        <v>75</v>
      </c>
      <c r="J13" s="27">
        <v>13.808</v>
      </c>
    </row>
    <row r="14" spans="1:16" x14ac:dyDescent="0.25">
      <c r="A14" t="s">
        <v>89</v>
      </c>
      <c r="F14" s="32" t="s">
        <v>75</v>
      </c>
      <c r="G14" s="6" t="s">
        <v>97</v>
      </c>
      <c r="H14" s="82"/>
      <c r="I14" s="26" t="s">
        <v>76</v>
      </c>
      <c r="J14" s="27">
        <v>15.896000000000001</v>
      </c>
    </row>
    <row r="15" spans="1:16" x14ac:dyDescent="0.25">
      <c r="A15" t="s">
        <v>90</v>
      </c>
      <c r="F15" s="29">
        <v>500</v>
      </c>
      <c r="G15" s="6" t="s">
        <v>98</v>
      </c>
      <c r="H15" s="82"/>
      <c r="I15" s="26" t="s">
        <v>77</v>
      </c>
      <c r="J15" s="27">
        <v>18.728999999999999</v>
      </c>
    </row>
    <row r="16" spans="1:16" x14ac:dyDescent="0.25">
      <c r="A16" t="s">
        <v>91</v>
      </c>
      <c r="F16" s="31">
        <v>0.4</v>
      </c>
      <c r="G16" s="6" t="s">
        <v>97</v>
      </c>
      <c r="H16" s="82"/>
      <c r="I16" s="26" t="s">
        <v>78</v>
      </c>
      <c r="J16" s="27">
        <v>20.376999999999999</v>
      </c>
    </row>
    <row r="17" spans="1:10" ht="17.25" x14ac:dyDescent="0.25">
      <c r="A17" t="s">
        <v>101</v>
      </c>
      <c r="F17" s="28">
        <v>113</v>
      </c>
      <c r="G17" s="6" t="s">
        <v>102</v>
      </c>
      <c r="H17" s="82"/>
      <c r="I17" s="26" t="s">
        <v>79</v>
      </c>
      <c r="J17" s="27">
        <v>19.843</v>
      </c>
    </row>
    <row r="18" spans="1:10" x14ac:dyDescent="0.25">
      <c r="I18" s="26" t="s">
        <v>80</v>
      </c>
      <c r="J18" s="27">
        <v>22.786999999999999</v>
      </c>
    </row>
    <row r="19" spans="1:10" x14ac:dyDescent="0.25">
      <c r="A19" t="s">
        <v>92</v>
      </c>
      <c r="F19" s="33">
        <f>(13.33-1)*F16*F15*186*24*2*VLOOKUP(F14,I10:J19,2,FALSE)/10^6+(F10-F11)*4.2*(F12-F13)/3600</f>
        <v>356.08311398399997</v>
      </c>
      <c r="G19" s="6" t="s">
        <v>25</v>
      </c>
      <c r="I19" s="26" t="s">
        <v>81</v>
      </c>
      <c r="J19" s="27">
        <v>22.266999999999999</v>
      </c>
    </row>
    <row r="20" spans="1:10" x14ac:dyDescent="0.25">
      <c r="A20" t="s">
        <v>93</v>
      </c>
      <c r="F20" s="34">
        <f>((F9*F19)+(F10-F11)*F17)/Kurs_EUR</f>
        <v>22109.914952787065</v>
      </c>
      <c r="G20" s="6" t="s">
        <v>26</v>
      </c>
      <c r="I20" s="26" t="s">
        <v>82</v>
      </c>
      <c r="J20" s="27">
        <v>23.71</v>
      </c>
    </row>
  </sheetData>
  <sheetProtection selectLockedCells="1"/>
  <mergeCells count="5">
    <mergeCell ref="A7:F7"/>
    <mergeCell ref="H10:H17"/>
    <mergeCell ref="L9:M10"/>
    <mergeCell ref="O9:P10"/>
    <mergeCell ref="F3:I3"/>
  </mergeCells>
  <dataValidations count="1">
    <dataValidation type="list" allowBlank="1" showInputMessage="1" showErrorMessage="1" errorTitle="Ograničenje" error="Može se izabrati samo pečnik naveden u listi." promptTitle="DN" prompt="Unesi prosečan prečnik deonice" sqref="F14">
      <formula1>$I$10:$I$20</formula1>
    </dataValidation>
  </dataValidations>
  <hyperlinks>
    <hyperlink ref="L9:M10" location="UnosPodataka!B2" display="NAZAD"/>
    <hyperlink ref="O9:P10" location="Anuiteti!B2" display="DALJ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D30" sqref="D30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7" t="s">
        <v>158</v>
      </c>
      <c r="E3" s="67"/>
      <c r="F3" s="67"/>
      <c r="G3" s="67"/>
    </row>
    <row r="7" spans="2:13" ht="21" x14ac:dyDescent="0.35">
      <c r="B7" s="74" t="s">
        <v>108</v>
      </c>
      <c r="C7" s="74"/>
      <c r="D7" s="74"/>
      <c r="E7" s="74"/>
      <c r="F7" s="74"/>
      <c r="G7" s="74"/>
    </row>
    <row r="9" spans="2:13" x14ac:dyDescent="0.25">
      <c r="B9" t="s">
        <v>137</v>
      </c>
      <c r="D9" s="6" t="s">
        <v>1</v>
      </c>
      <c r="E9" s="13">
        <f>LOAN</f>
        <v>89000</v>
      </c>
      <c r="I9" s="71" t="s">
        <v>138</v>
      </c>
      <c r="J9" s="71"/>
      <c r="L9" s="72" t="s">
        <v>139</v>
      </c>
      <c r="M9" s="72"/>
    </row>
    <row r="10" spans="2:13" x14ac:dyDescent="0.25">
      <c r="I10" s="71"/>
      <c r="J10" s="71"/>
      <c r="L10" s="72"/>
      <c r="M10" s="72"/>
    </row>
    <row r="11" spans="2:13" x14ac:dyDescent="0.25">
      <c r="B11" s="14" t="s">
        <v>27</v>
      </c>
      <c r="C11" s="14" t="s">
        <v>109</v>
      </c>
      <c r="D11" s="14" t="s">
        <v>110</v>
      </c>
      <c r="E11" s="14" t="s">
        <v>111</v>
      </c>
    </row>
    <row r="13" spans="2:13" x14ac:dyDescent="0.25">
      <c r="B13">
        <v>1</v>
      </c>
      <c r="C13" s="3">
        <f>E9</f>
        <v>89000</v>
      </c>
      <c r="D13" s="3">
        <f>IF(UnosPodataka!M19=0,"",UnosPodataka!$M$19*Anuiteti!$E$9)</f>
        <v>10680</v>
      </c>
      <c r="E13" s="3">
        <f>PMT(UnosPodataka!$M$19,UnosPodataka!$M$21,Anuiteti!$E$9)</f>
        <v>-17915.952882517424</v>
      </c>
    </row>
    <row r="14" spans="2:13" x14ac:dyDescent="0.25">
      <c r="B14">
        <f>IF(B13&lt;UnosPodataka!$M$21,B13+1,"")</f>
        <v>2</v>
      </c>
      <c r="C14" s="3">
        <f>IF(B14&lt;&gt;"",SUM(C13:E13),"")</f>
        <v>81764.04711748258</v>
      </c>
      <c r="D14" s="3">
        <f>IF(B14&lt;&gt;"",C14*UnosPodataka!$M$19,"")</f>
        <v>9811.6856540979097</v>
      </c>
      <c r="E14" s="3">
        <f>IF(B14&lt;&gt;"",PMT(UnosPodataka!$M$19,UnosPodataka!$M$21,Anuiteti!$E$9),"")</f>
        <v>-17915.952882517424</v>
      </c>
    </row>
    <row r="15" spans="2:13" x14ac:dyDescent="0.25">
      <c r="B15">
        <f>IF(B14&lt;UnosPodataka!$M$21,B14+1,"")</f>
        <v>3</v>
      </c>
      <c r="C15" s="3">
        <f t="shared" ref="C15:C32" si="0">IF(B15&lt;&gt;"",SUM(C14:E14),"")</f>
        <v>73659.779889063066</v>
      </c>
      <c r="D15" s="3">
        <f>IF(B15&lt;&gt;"",C15*UnosPodataka!$M$19,"")</f>
        <v>8839.1735866875679</v>
      </c>
      <c r="E15" s="3">
        <f>IF(B15&lt;&gt;"",PMT(UnosPodataka!$M$19,UnosPodataka!$M$21,Anuiteti!$E$9),"")</f>
        <v>-17915.952882517424</v>
      </c>
    </row>
    <row r="16" spans="2:13" x14ac:dyDescent="0.25">
      <c r="B16">
        <f>IF(B15&lt;UnosPodataka!$M$21,B15+1,"")</f>
        <v>4</v>
      </c>
      <c r="C16" s="3">
        <f t="shared" si="0"/>
        <v>64583.000593233213</v>
      </c>
      <c r="D16" s="3">
        <f>IF(B16&lt;&gt;"",C16*UnosPodataka!$M$19,"")</f>
        <v>7749.9600711879857</v>
      </c>
      <c r="E16" s="3">
        <f>IF(B16&lt;&gt;"",PMT(UnosPodataka!$M$19,UnosPodataka!$M$21,Anuiteti!$E$9),"")</f>
        <v>-17915.952882517424</v>
      </c>
    </row>
    <row r="17" spans="2:5" x14ac:dyDescent="0.25">
      <c r="B17">
        <f>IF(B16&lt;UnosPodataka!$M$21,B16+1,"")</f>
        <v>5</v>
      </c>
      <c r="C17" s="3">
        <f t="shared" si="0"/>
        <v>54417.007781903783</v>
      </c>
      <c r="D17" s="3">
        <f>IF(B17&lt;&gt;"",C17*UnosPodataka!$M$19,"")</f>
        <v>6530.0409338284535</v>
      </c>
      <c r="E17" s="3">
        <f>IF(B17&lt;&gt;"",PMT(UnosPodataka!$M$19,UnosPodataka!$M$21,Anuiteti!$E$9),"")</f>
        <v>-17915.952882517424</v>
      </c>
    </row>
    <row r="18" spans="2:5" x14ac:dyDescent="0.25">
      <c r="B18">
        <f>IF(B17&lt;UnosPodataka!$M$21,B17+1,"")</f>
        <v>6</v>
      </c>
      <c r="C18" s="3">
        <f t="shared" si="0"/>
        <v>43031.095833214815</v>
      </c>
      <c r="D18" s="3">
        <f>IF(B18&lt;&gt;"",C18*UnosPodataka!$M$19,"")</f>
        <v>5163.7314999857772</v>
      </c>
      <c r="E18" s="3">
        <f>IF(B18&lt;&gt;"",PMT(UnosPodataka!$M$19,UnosPodataka!$M$21,Anuiteti!$E$9),"")</f>
        <v>-17915.952882517424</v>
      </c>
    </row>
    <row r="19" spans="2:5" x14ac:dyDescent="0.25">
      <c r="B19">
        <f>IF(B18&lt;UnosPodataka!$M$21,B18+1,"")</f>
        <v>7</v>
      </c>
      <c r="C19" s="3">
        <f t="shared" si="0"/>
        <v>30278.874450683168</v>
      </c>
      <c r="D19" s="3">
        <f>IF(B19&lt;&gt;"",C19*UnosPodataka!$M$19,"")</f>
        <v>3633.4649340819801</v>
      </c>
      <c r="E19" s="3">
        <f>IF(B19&lt;&gt;"",PMT(UnosPodataka!$M$19,UnosPodataka!$M$21,Anuiteti!$E$9),"")</f>
        <v>-17915.952882517424</v>
      </c>
    </row>
    <row r="20" spans="2:5" x14ac:dyDescent="0.25">
      <c r="B20">
        <f>IF(B19&lt;UnosPodataka!$M$21,B19+1,"")</f>
        <v>8</v>
      </c>
      <c r="C20" s="3">
        <f t="shared" si="0"/>
        <v>15996.386502247722</v>
      </c>
      <c r="D20" s="3">
        <f>IF(B20&lt;&gt;"",C20*UnosPodataka!$M$19,"")</f>
        <v>1919.5663802697266</v>
      </c>
      <c r="E20" s="3">
        <f>IF(B20&lt;&gt;"",PMT(UnosPodataka!$M$19,UnosPodataka!$M$21,Anuiteti!$E$9),"")</f>
        <v>-17915.952882517424</v>
      </c>
    </row>
    <row r="21" spans="2:5" x14ac:dyDescent="0.25">
      <c r="B21" t="str">
        <f>IF(B20&lt;UnosPodataka!$M$21,B20+1,"")</f>
        <v/>
      </c>
      <c r="C21" s="3" t="str">
        <f t="shared" si="0"/>
        <v/>
      </c>
      <c r="D21" s="3" t="str">
        <f>IF(B21&lt;&gt;"",C21*UnosPodataka!$M$19,"")</f>
        <v/>
      </c>
      <c r="E21" s="3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3" t="str">
        <f t="shared" si="0"/>
        <v/>
      </c>
      <c r="D22" s="3" t="str">
        <f>IF(B22&lt;&gt;"",C22*UnosPodataka!$M$19,"")</f>
        <v/>
      </c>
      <c r="E22" s="3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3" t="str">
        <f t="shared" si="0"/>
        <v/>
      </c>
      <c r="D23" s="3" t="str">
        <f>IF(B23&lt;&gt;"",C23*UnosPodataka!$M$19,"")</f>
        <v/>
      </c>
      <c r="E23" s="3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3" t="str">
        <f t="shared" si="0"/>
        <v/>
      </c>
      <c r="D24" s="3" t="str">
        <f>IF(B24&lt;&gt;"",C24*UnosPodataka!$M$19,"")</f>
        <v/>
      </c>
      <c r="E24" s="3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3" t="str">
        <f t="shared" si="0"/>
        <v/>
      </c>
      <c r="D25" s="3" t="str">
        <f>IF(B25&lt;&gt;"",C25*UnosPodataka!$M$19,"")</f>
        <v/>
      </c>
      <c r="E25" s="3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3" t="str">
        <f t="shared" si="0"/>
        <v/>
      </c>
      <c r="D26" s="3" t="str">
        <f>IF(B26&lt;&gt;"",C26*UnosPodataka!$M$19,"")</f>
        <v/>
      </c>
      <c r="E26" s="3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3" t="str">
        <f t="shared" si="0"/>
        <v/>
      </c>
      <c r="D27" s="3" t="str">
        <f>IF(B27&lt;&gt;"",C27*UnosPodataka!$M$19,"")</f>
        <v/>
      </c>
      <c r="E27" s="3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3" t="str">
        <f t="shared" si="0"/>
        <v/>
      </c>
      <c r="D28" s="3" t="str">
        <f>IF(B28&lt;&gt;"",C28*UnosPodataka!$M$19,"")</f>
        <v/>
      </c>
      <c r="E28" s="3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3" t="str">
        <f t="shared" si="0"/>
        <v/>
      </c>
      <c r="D29" s="3" t="str">
        <f>IF(B29&lt;&gt;"",C29*UnosPodataka!$M$19,"")</f>
        <v/>
      </c>
      <c r="E29" s="3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3" t="str">
        <f t="shared" si="0"/>
        <v/>
      </c>
      <c r="D30" s="3" t="str">
        <f>IF(B30&lt;&gt;"",C30*UnosPodataka!$M$19,"")</f>
        <v/>
      </c>
      <c r="E30" s="3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3" t="str">
        <f t="shared" si="0"/>
        <v/>
      </c>
      <c r="D31" s="3" t="str">
        <f>IF(B31&lt;&gt;"",C31*UnosPodataka!$M$19,"")</f>
        <v/>
      </c>
      <c r="E31" s="3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3" t="str">
        <f t="shared" si="0"/>
        <v/>
      </c>
      <c r="D32" s="3" t="str">
        <f>IF(B32&lt;&gt;"",C32*UnosPodataka!$M$19,"")</f>
        <v/>
      </c>
      <c r="E32" s="3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L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zoomScale="80" zoomScaleNormal="80" workbookViewId="0">
      <selection activeCell="F23" sqref="F23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7" t="s">
        <v>158</v>
      </c>
      <c r="G3" s="67"/>
      <c r="H3" s="67"/>
      <c r="I3" s="67"/>
    </row>
    <row r="7" spans="1:25" ht="21" x14ac:dyDescent="0.35">
      <c r="A7" s="74" t="s">
        <v>112</v>
      </c>
      <c r="B7" s="74"/>
      <c r="C7" s="74"/>
      <c r="D7" s="74"/>
      <c r="I7" s="85" t="s">
        <v>138</v>
      </c>
      <c r="J7" s="85"/>
      <c r="N7" s="86" t="s">
        <v>139</v>
      </c>
      <c r="O7" s="86"/>
    </row>
    <row r="9" spans="1:25" x14ac:dyDescent="0.25">
      <c r="A9" s="70" t="s">
        <v>66</v>
      </c>
      <c r="B9" s="70"/>
      <c r="C9" s="70"/>
      <c r="D9" s="70"/>
      <c r="E9" s="14">
        <v>0</v>
      </c>
      <c r="F9" s="14">
        <v>1</v>
      </c>
      <c r="G9" s="14">
        <f>IF(F9&lt;UnosPodataka!$M$24,FinaIndicators!F9+1,"")</f>
        <v>2</v>
      </c>
      <c r="H9" s="14">
        <f>IF(G9&lt;UnosPodataka!$M$24,FinaIndicators!G9+1,"")</f>
        <v>3</v>
      </c>
      <c r="I9" s="14">
        <f>IF(H9&lt;UnosPodataka!$M$24,FinaIndicators!H9+1,"")</f>
        <v>4</v>
      </c>
      <c r="J9" s="14">
        <f>IF(I9&lt;UnosPodataka!$M$24,FinaIndicators!I9+1,"")</f>
        <v>5</v>
      </c>
      <c r="K9" s="14">
        <f>IF(J9&lt;UnosPodataka!$M$24,FinaIndicators!J9+1,"")</f>
        <v>6</v>
      </c>
      <c r="L9" s="14">
        <f>IF(K9&lt;UnosPodataka!$M$24,FinaIndicators!K9+1,"")</f>
        <v>7</v>
      </c>
      <c r="M9" s="14">
        <f>IF(L9&lt;UnosPodataka!$M$24,FinaIndicators!L9+1,"")</f>
        <v>8</v>
      </c>
      <c r="N9" s="14">
        <f>IF(M9&lt;UnosPodataka!$M$24,FinaIndicators!M9+1,"")</f>
        <v>9</v>
      </c>
      <c r="O9" s="14">
        <f>IF(N9&lt;UnosPodataka!$M$24,FinaIndicators!N9+1,"")</f>
        <v>10</v>
      </c>
      <c r="P9" s="14">
        <f>IF(O9&lt;UnosPodataka!$M$24,FinaIndicators!O9+1,"")</f>
        <v>11</v>
      </c>
      <c r="Q9" s="14">
        <f>IF(P9&lt;UnosPodataka!$M$24,FinaIndicators!P9+1,"")</f>
        <v>12</v>
      </c>
      <c r="R9" s="14">
        <f>IF(Q9&lt;UnosPodataka!$M$24,FinaIndicators!Q9+1,"")</f>
        <v>13</v>
      </c>
      <c r="S9" s="14">
        <f>IF(R9&lt;UnosPodataka!$M$24,FinaIndicators!R9+1,"")</f>
        <v>14</v>
      </c>
      <c r="T9" s="14">
        <f>IF(S9&lt;UnosPodataka!$M$24,FinaIndicators!S9+1,"")</f>
        <v>15</v>
      </c>
      <c r="U9" s="14">
        <f>IF(T9&lt;UnosPodataka!$M$24,FinaIndicators!T9+1,"")</f>
        <v>16</v>
      </c>
      <c r="V9" s="14">
        <f>IF(U9&lt;UnosPodataka!$M$24,FinaIndicators!U9+1,"")</f>
        <v>17</v>
      </c>
      <c r="W9" s="14">
        <f>IF(V9&lt;UnosPodataka!$M$24,FinaIndicators!V9+1,"")</f>
        <v>18</v>
      </c>
      <c r="X9" s="14">
        <f>IF(W9&lt;UnosPodataka!$M$24,FinaIndicators!W9+1,"")</f>
        <v>19</v>
      </c>
      <c r="Y9" s="14">
        <f>IF(X9&lt;UnosPodataka!$M$24,FinaIndicators!X9+1,"")</f>
        <v>20</v>
      </c>
    </row>
    <row r="11" spans="1:25" x14ac:dyDescent="0.25">
      <c r="A11" s="78" t="s">
        <v>113</v>
      </c>
      <c r="B11" s="78"/>
      <c r="C11" s="78"/>
      <c r="D11" s="78"/>
      <c r="E11" s="3">
        <f>LOAN</f>
        <v>89000</v>
      </c>
    </row>
    <row r="12" spans="1:25" x14ac:dyDescent="0.25">
      <c r="A12" s="78" t="s">
        <v>114</v>
      </c>
      <c r="B12" s="78"/>
      <c r="C12" s="78"/>
      <c r="D12" s="78"/>
      <c r="E12" s="3">
        <f>IF(Equity=0,LOAN,Equity)</f>
        <v>25000</v>
      </c>
    </row>
    <row r="13" spans="1:25" x14ac:dyDescent="0.25">
      <c r="A13" s="78" t="s">
        <v>160</v>
      </c>
      <c r="B13" s="78"/>
      <c r="C13" s="78"/>
      <c r="D13" s="78"/>
      <c r="E13" s="3">
        <f>+UnosPodataka!F21</f>
        <v>30000</v>
      </c>
    </row>
    <row r="14" spans="1:25" x14ac:dyDescent="0.25">
      <c r="A14" s="78" t="s">
        <v>125</v>
      </c>
      <c r="B14" s="78"/>
      <c r="C14" s="78"/>
      <c r="D14" s="78"/>
      <c r="F14" s="3">
        <f>IF(F9&lt;&gt;"",Ustede!$F$19,"")</f>
        <v>356.08311398399997</v>
      </c>
      <c r="G14" s="3">
        <f>IF(G9&lt;&gt;"",Ustede!$F$19,"")</f>
        <v>356.08311398399997</v>
      </c>
      <c r="H14" s="3">
        <f>IF(H9&lt;&gt;"",Ustede!$F$19,"")</f>
        <v>356.08311398399997</v>
      </c>
      <c r="I14" s="3">
        <f>IF(I9&lt;&gt;"",Ustede!$F$19,"")</f>
        <v>356.08311398399997</v>
      </c>
      <c r="J14" s="3">
        <f>IF(J9&lt;&gt;"",Ustede!$F$19,"")</f>
        <v>356.08311398399997</v>
      </c>
      <c r="K14" s="3">
        <f>IF(K9&lt;&gt;"",Ustede!$F$19,"")</f>
        <v>356.08311398399997</v>
      </c>
      <c r="L14" s="3">
        <f>IF(L9&lt;&gt;"",Ustede!$F$19,"")</f>
        <v>356.08311398399997</v>
      </c>
      <c r="M14" s="3">
        <f>IF(M9&lt;&gt;"",Ustede!$F$19,"")</f>
        <v>356.08311398399997</v>
      </c>
      <c r="N14" s="3">
        <f>IF(N9&lt;&gt;"",Ustede!$F$19,"")</f>
        <v>356.08311398399997</v>
      </c>
      <c r="O14" s="3">
        <f>IF(O9&lt;&gt;"",Ustede!$F$19,"")</f>
        <v>356.08311398399997</v>
      </c>
      <c r="P14" s="3">
        <f>IF(P9&lt;&gt;"",Ustede!$F$19,"")</f>
        <v>356.08311398399997</v>
      </c>
      <c r="Q14" s="3">
        <f>IF(Q9&lt;&gt;"",Ustede!$F$19,"")</f>
        <v>356.08311398399997</v>
      </c>
      <c r="R14" s="3">
        <f>IF(R9&lt;&gt;"",Ustede!$F$19,"")</f>
        <v>356.08311398399997</v>
      </c>
      <c r="S14" s="3">
        <f>IF(S9&lt;&gt;"",Ustede!$F$19,"")</f>
        <v>356.08311398399997</v>
      </c>
      <c r="T14" s="3">
        <f>IF(T9&lt;&gt;"",Ustede!$F$19,"")</f>
        <v>356.08311398399997</v>
      </c>
      <c r="U14" s="3">
        <f>IF(U9&lt;&gt;"",Ustede!$F$19,"")</f>
        <v>356.08311398399997</v>
      </c>
      <c r="V14" s="3">
        <f>IF(V9&lt;&gt;"",Ustede!$F$19,"")</f>
        <v>356.08311398399997</v>
      </c>
      <c r="W14" s="3">
        <f>IF(W9&lt;&gt;"",Ustede!$F$19,"")</f>
        <v>356.08311398399997</v>
      </c>
      <c r="X14" s="3">
        <f>IF(X9&lt;&gt;"",Ustede!$F$19,"")</f>
        <v>356.08311398399997</v>
      </c>
      <c r="Y14" s="3">
        <f>IF(Y9&lt;&gt;"",Ustede!$F$19,"")</f>
        <v>356.08311398399997</v>
      </c>
    </row>
    <row r="15" spans="1:25" x14ac:dyDescent="0.25">
      <c r="A15" s="78" t="s">
        <v>126</v>
      </c>
      <c r="B15" s="78"/>
      <c r="C15" s="78"/>
      <c r="D15" s="78"/>
      <c r="F15" s="3">
        <f>IF(F9&lt;&gt;"",(Ustede!$F$10-Ustede!$F$11),"")</f>
        <v>930</v>
      </c>
      <c r="G15" s="3">
        <f>IF(G9&lt;&gt;"",(Ustede!$F$10-Ustede!$F$11),"")</f>
        <v>930</v>
      </c>
      <c r="H15" s="3">
        <f>IF(H9&lt;&gt;"",(Ustede!$F$10-Ustede!$F$11),"")</f>
        <v>930</v>
      </c>
      <c r="I15" s="3">
        <f>IF(I9&lt;&gt;"",(Ustede!$F$10-Ustede!$F$11),"")</f>
        <v>930</v>
      </c>
      <c r="J15" s="3">
        <f>IF(J9&lt;&gt;"",(Ustede!$F$10-Ustede!$F$11),"")</f>
        <v>930</v>
      </c>
      <c r="K15" s="3">
        <f>IF(K9&lt;&gt;"",(Ustede!$F$10-Ustede!$F$11),"")</f>
        <v>930</v>
      </c>
      <c r="L15" s="3">
        <f>IF(L9&lt;&gt;"",(Ustede!$F$10-Ustede!$F$11),"")</f>
        <v>930</v>
      </c>
      <c r="M15" s="3">
        <f>IF(M9&lt;&gt;"",(Ustede!$F$10-Ustede!$F$11),"")</f>
        <v>930</v>
      </c>
      <c r="N15" s="3">
        <f>IF(N9&lt;&gt;"",(Ustede!$F$10-Ustede!$F$11),"")</f>
        <v>930</v>
      </c>
      <c r="O15" s="3">
        <f>IF(O9&lt;&gt;"",(Ustede!$F$10-Ustede!$F$11),"")</f>
        <v>930</v>
      </c>
      <c r="P15" s="3">
        <f>IF(P9&lt;&gt;"",(Ustede!$F$10-Ustede!$F$11),"")</f>
        <v>930</v>
      </c>
      <c r="Q15" s="3">
        <f>IF(Q9&lt;&gt;"",(Ustede!$F$10-Ustede!$F$11),"")</f>
        <v>930</v>
      </c>
      <c r="R15" s="3">
        <f>IF(R9&lt;&gt;"",(Ustede!$F$10-Ustede!$F$11),"")</f>
        <v>930</v>
      </c>
      <c r="S15" s="3">
        <f>IF(S9&lt;&gt;"",(Ustede!$F$10-Ustede!$F$11),"")</f>
        <v>930</v>
      </c>
      <c r="T15" s="3">
        <f>IF(T9&lt;&gt;"",(Ustede!$F$10-Ustede!$F$11),"")</f>
        <v>930</v>
      </c>
      <c r="U15" s="3">
        <f>IF(U9&lt;&gt;"",(Ustede!$F$10-Ustede!$F$11),"")</f>
        <v>930</v>
      </c>
      <c r="V15" s="3">
        <f>IF(V9&lt;&gt;"",(Ustede!$F$10-Ustede!$F$11),"")</f>
        <v>930</v>
      </c>
      <c r="W15" s="3">
        <f>IF(W9&lt;&gt;"",(Ustede!$F$10-Ustede!$F$11),"")</f>
        <v>930</v>
      </c>
      <c r="X15" s="3">
        <f>IF(X9&lt;&gt;"",(Ustede!$F$10-Ustede!$F$11),"")</f>
        <v>930</v>
      </c>
      <c r="Y15" s="3">
        <f>IF(Y9&lt;&gt;"",(Ustede!$F$10-Ustede!$F$11),"")</f>
        <v>930</v>
      </c>
    </row>
    <row r="16" spans="1:25" x14ac:dyDescent="0.25">
      <c r="A16" s="23"/>
      <c r="B16" s="23"/>
      <c r="C16" s="23"/>
      <c r="D16" s="2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70" t="s">
        <v>161</v>
      </c>
      <c r="B17" s="70"/>
      <c r="C17" s="70"/>
      <c r="D17" s="7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78" t="s">
        <v>115</v>
      </c>
      <c r="B18" s="78"/>
      <c r="C18" s="78"/>
      <c r="D18" s="78"/>
      <c r="F18" s="3">
        <f>IF(F9&lt;&gt;"",Ustede!$F$20,"")</f>
        <v>22109.914952787065</v>
      </c>
      <c r="G18" s="3">
        <f>IF(G9&lt;&gt;"",Ustede!$F$20,"")</f>
        <v>22109.914952787065</v>
      </c>
      <c r="H18" s="3">
        <f>IF(H9&lt;&gt;"",Ustede!$F$20,"")</f>
        <v>22109.914952787065</v>
      </c>
      <c r="I18" s="3">
        <f>IF(I9&lt;&gt;"",Ustede!$F$20,"")</f>
        <v>22109.914952787065</v>
      </c>
      <c r="J18" s="3">
        <f>IF(J9&lt;&gt;"",Ustede!$F$20,"")</f>
        <v>22109.914952787065</v>
      </c>
      <c r="K18" s="3">
        <f>IF(K9&lt;&gt;"",Ustede!$F$20,"")</f>
        <v>22109.914952787065</v>
      </c>
      <c r="L18" s="3">
        <f>IF(L9&lt;&gt;"",Ustede!$F$20,"")</f>
        <v>22109.914952787065</v>
      </c>
      <c r="M18" s="3">
        <f>IF(M9&lt;&gt;"",Ustede!$F$20,"")</f>
        <v>22109.914952787065</v>
      </c>
      <c r="N18" s="3">
        <f>IF(N9&lt;&gt;"",Ustede!$F$20,"")</f>
        <v>22109.914952787065</v>
      </c>
      <c r="O18" s="3">
        <f>IF(O9&lt;&gt;"",Ustede!$F$20,"")</f>
        <v>22109.914952787065</v>
      </c>
      <c r="P18" s="3">
        <f>IF(P9&lt;&gt;"",Ustede!$F$20,"")</f>
        <v>22109.914952787065</v>
      </c>
      <c r="Q18" s="3">
        <f>IF(Q9&lt;&gt;"",Ustede!$F$20,"")</f>
        <v>22109.914952787065</v>
      </c>
      <c r="R18" s="3">
        <f>IF(R9&lt;&gt;"",Ustede!$F$20,"")</f>
        <v>22109.914952787065</v>
      </c>
      <c r="S18" s="3">
        <f>IF(S9&lt;&gt;"",Ustede!$F$20,"")</f>
        <v>22109.914952787065</v>
      </c>
      <c r="T18" s="3">
        <f>IF(T9&lt;&gt;"",Ustede!$F$20,"")</f>
        <v>22109.914952787065</v>
      </c>
      <c r="U18" s="3">
        <f>IF(U9&lt;&gt;"",Ustede!$F$20,"")</f>
        <v>22109.914952787065</v>
      </c>
      <c r="V18" s="3">
        <f>IF(V9&lt;&gt;"",Ustede!$F$20,"")</f>
        <v>22109.914952787065</v>
      </c>
      <c r="W18" s="3">
        <f>IF(W9&lt;&gt;"",Ustede!$F$20,"")</f>
        <v>22109.914952787065</v>
      </c>
      <c r="X18" s="3">
        <f>IF(X9&lt;&gt;"",Ustede!$F$20,"")</f>
        <v>22109.914952787065</v>
      </c>
      <c r="Y18" s="3">
        <f>IF(Y9&lt;&gt;"",Ustede!$F$20,"")</f>
        <v>22109.914952787065</v>
      </c>
    </row>
    <row r="19" spans="1:25" x14ac:dyDescent="0.25">
      <c r="A19" s="84" t="s">
        <v>116</v>
      </c>
      <c r="B19" s="84"/>
      <c r="C19" s="84"/>
      <c r="D19" s="84"/>
      <c r="E19" s="38"/>
      <c r="F19" s="39">
        <f>IF(F9&lt;&gt;"",F18,"")</f>
        <v>22109.914952787065</v>
      </c>
      <c r="G19" s="39">
        <f t="shared" ref="G19:Y19" si="0">IF(G9&lt;&gt;"",G18,"")</f>
        <v>22109.914952787065</v>
      </c>
      <c r="H19" s="39">
        <f t="shared" si="0"/>
        <v>22109.914952787065</v>
      </c>
      <c r="I19" s="39">
        <f t="shared" si="0"/>
        <v>22109.914952787065</v>
      </c>
      <c r="J19" s="39">
        <f t="shared" si="0"/>
        <v>22109.914952787065</v>
      </c>
      <c r="K19" s="39">
        <f t="shared" si="0"/>
        <v>22109.914952787065</v>
      </c>
      <c r="L19" s="39">
        <f t="shared" si="0"/>
        <v>22109.914952787065</v>
      </c>
      <c r="M19" s="39">
        <f t="shared" si="0"/>
        <v>22109.914952787065</v>
      </c>
      <c r="N19" s="39">
        <f t="shared" si="0"/>
        <v>22109.914952787065</v>
      </c>
      <c r="O19" s="39">
        <f t="shared" si="0"/>
        <v>22109.914952787065</v>
      </c>
      <c r="P19" s="39">
        <f t="shared" si="0"/>
        <v>22109.914952787065</v>
      </c>
      <c r="Q19" s="39">
        <f t="shared" si="0"/>
        <v>22109.914952787065</v>
      </c>
      <c r="R19" s="39">
        <f t="shared" si="0"/>
        <v>22109.914952787065</v>
      </c>
      <c r="S19" s="39">
        <f t="shared" si="0"/>
        <v>22109.914952787065</v>
      </c>
      <c r="T19" s="39">
        <f t="shared" si="0"/>
        <v>22109.914952787065</v>
      </c>
      <c r="U19" s="39">
        <f t="shared" si="0"/>
        <v>22109.914952787065</v>
      </c>
      <c r="V19" s="39">
        <f t="shared" si="0"/>
        <v>22109.914952787065</v>
      </c>
      <c r="W19" s="39">
        <f t="shared" si="0"/>
        <v>22109.914952787065</v>
      </c>
      <c r="X19" s="39">
        <f t="shared" si="0"/>
        <v>22109.914952787065</v>
      </c>
      <c r="Y19" s="39">
        <f t="shared" si="0"/>
        <v>22109.914952787065</v>
      </c>
    </row>
    <row r="20" spans="1:25" x14ac:dyDescent="0.25">
      <c r="A20" s="79"/>
      <c r="B20" s="79"/>
      <c r="C20" s="79"/>
      <c r="D20" s="79"/>
    </row>
    <row r="21" spans="1:25" x14ac:dyDescent="0.25">
      <c r="A21" s="70" t="s">
        <v>162</v>
      </c>
      <c r="B21" s="70"/>
      <c r="C21" s="70"/>
      <c r="D21" s="70"/>
    </row>
    <row r="22" spans="1:25" x14ac:dyDescent="0.25">
      <c r="A22" s="78" t="s">
        <v>117</v>
      </c>
      <c r="B22" s="78"/>
      <c r="C22" s="78"/>
      <c r="D22" s="78"/>
      <c r="F22" s="3">
        <f>IF(F9&gt;UnosPodataka!$M$21,"",-VLOOKUP(F9,Anuiteti!$B$13:$E$32,3,FALSE))</f>
        <v>-10680</v>
      </c>
      <c r="G22" s="3">
        <f>IF(G9&gt;UnosPodataka!$M$21,"",-VLOOKUP(G9,Anuiteti!$B$13:$E$32,3,FALSE))</f>
        <v>-9811.6856540979097</v>
      </c>
      <c r="H22" s="3">
        <f>IF(H9&gt;UnosPodataka!$M$21,"",-VLOOKUP(H9,Anuiteti!$B$13:$E$32,3,FALSE))</f>
        <v>-8839.1735866875679</v>
      </c>
      <c r="I22" s="3">
        <f>IF(I9&gt;UnosPodataka!$M$21,"",-VLOOKUP(I9,Anuiteti!$B$13:$E$32,3,FALSE))</f>
        <v>-7749.9600711879857</v>
      </c>
      <c r="J22" s="3">
        <f>IF(J9&gt;UnosPodataka!$M$21,"",-VLOOKUP(J9,Anuiteti!$B$13:$E$32,3,FALSE))</f>
        <v>-6530.0409338284535</v>
      </c>
      <c r="K22" s="3">
        <f>IF(K9&gt;UnosPodataka!$M$21,"",-VLOOKUP(K9,Anuiteti!$B$13:$E$32,3,FALSE))</f>
        <v>-5163.7314999857772</v>
      </c>
      <c r="L22" s="3">
        <f>IF(L9&gt;UnosPodataka!$M$21,"",-VLOOKUP(L9,Anuiteti!$B$13:$E$32,3,FALSE))</f>
        <v>-3633.4649340819801</v>
      </c>
      <c r="M22" s="3">
        <f>IF(M9&gt;UnosPodataka!$M$21,"",-VLOOKUP(M9,Anuiteti!$B$13:$E$32,3,FALSE))</f>
        <v>-1919.5663802697266</v>
      </c>
      <c r="N22" s="3" t="str">
        <f>IF(N9&gt;UnosPodataka!$M$21,"",-VLOOKUP(N9,Anuiteti!$B$13:$E$32,3,FALSE))</f>
        <v/>
      </c>
      <c r="O22" s="3" t="str">
        <f>IF(O9&gt;UnosPodataka!$M$21,"",-VLOOKUP(O9,Anuiteti!$B$13:$E$32,3,FALSE))</f>
        <v/>
      </c>
      <c r="P22" s="3" t="str">
        <f>IF(P9&gt;UnosPodataka!$M$21,"",-VLOOKUP(P9,Anuiteti!$B$13:$E$32,3,FALSE))</f>
        <v/>
      </c>
      <c r="Q22" s="3" t="str">
        <f>IF(Q9&gt;UnosPodataka!$M$21,"",-VLOOKUP(Q9,Anuiteti!$B$13:$E$32,3,FALSE))</f>
        <v/>
      </c>
      <c r="R22" s="3" t="str">
        <f>IF(R9&gt;UnosPodataka!$M$21,"",-VLOOKUP(R9,Anuiteti!$B$13:$E$32,3,FALSE))</f>
        <v/>
      </c>
      <c r="S22" s="3" t="str">
        <f>IF(S9&gt;UnosPodataka!$M$21,"",-VLOOKUP(S9,Anuiteti!$B$13:$E$32,3,FALSE))</f>
        <v/>
      </c>
      <c r="T22" s="3" t="str">
        <f>IF(T9&gt;UnosPodataka!$M$21,"",-VLOOKUP(T9,Anuiteti!$B$13:$E$32,3,FALSE))</f>
        <v/>
      </c>
      <c r="U22" s="3" t="str">
        <f>IF(U9&gt;UnosPodataka!$M$21,"",-VLOOKUP(U9,Anuiteti!$B$13:$E$32,3,FALSE))</f>
        <v/>
      </c>
      <c r="V22" s="3" t="str">
        <f>IF(V9&gt;UnosPodataka!$M$21,"",-VLOOKUP(V9,Anuiteti!$B$13:$E$32,3,FALSE))</f>
        <v/>
      </c>
      <c r="W22" s="3" t="str">
        <f>IF(W9&gt;UnosPodataka!$M$21,"",-VLOOKUP(W9,Anuiteti!$B$13:$E$32,3,FALSE))</f>
        <v/>
      </c>
      <c r="X22" s="3" t="str">
        <f>IF(X9&gt;UnosPodataka!$M$21,"",-VLOOKUP(X9,Anuiteti!$B$13:$E$32,3,FALSE))</f>
        <v/>
      </c>
      <c r="Y22" s="3" t="str">
        <f>IF(Y9&gt;UnosPodataka!$M$21,"",-VLOOKUP(Y9,Anuiteti!$B$13:$E$32,3,FALSE))</f>
        <v/>
      </c>
    </row>
    <row r="23" spans="1:25" x14ac:dyDescent="0.25">
      <c r="A23" s="23" t="s">
        <v>163</v>
      </c>
      <c r="B23" s="23"/>
      <c r="C23" s="23"/>
      <c r="D23" s="23"/>
      <c r="F23" s="3">
        <f>IF(F22="",0,IF(F9&gt;UnosPodataka!$M$24,"",VLOOKUP(F9,Anuiteti!$B$13:$E$32,4,FALSE)+VLOOKUP(F9,Anuiteti!$B$13:$E$32,3,FALSE)))</f>
        <v>-7235.9528825174239</v>
      </c>
      <c r="G23" s="3">
        <f>IF(G22="",0,IF(G9&gt;UnosPodataka!$M$24,"",VLOOKUP(G9,Anuiteti!$B$13:$E$32,4,FALSE)+VLOOKUP(G9,Anuiteti!$B$13:$E$32,3,FALSE)))</f>
        <v>-8104.2672284195141</v>
      </c>
      <c r="H23" s="3">
        <f>IF(H22="",0,IF(H9&gt;UnosPodataka!$M$24,"",VLOOKUP(H9,Anuiteti!$B$13:$E$32,4,FALSE)+VLOOKUP(H9,Anuiteti!$B$13:$E$32,3,FALSE)))</f>
        <v>-9076.779295829856</v>
      </c>
      <c r="I23" s="3">
        <f>IF(I22="",0,IF(I9&gt;UnosPodataka!$M$24,"",VLOOKUP(I9,Anuiteti!$B$13:$E$32,4,FALSE)+VLOOKUP(I9,Anuiteti!$B$13:$E$32,3,FALSE)))</f>
        <v>-10165.992811329437</v>
      </c>
      <c r="J23" s="3">
        <f>IF(J22="",0,IF(J9&gt;UnosPodataka!$M$24,"",VLOOKUP(J9,Anuiteti!$B$13:$E$32,4,FALSE)+VLOOKUP(J9,Anuiteti!$B$13:$E$32,3,FALSE)))</f>
        <v>-11385.91194868897</v>
      </c>
      <c r="K23" s="3">
        <f>IF(K22="",0,IF(K9&gt;UnosPodataka!$M$24,"",VLOOKUP(K9,Anuiteti!$B$13:$E$32,4,FALSE)+VLOOKUP(K9,Anuiteti!$B$13:$E$32,3,FALSE)))</f>
        <v>-12752.221382531647</v>
      </c>
      <c r="L23" s="3">
        <f>IF(L22="",0,IF(L9&gt;UnosPodataka!$M$24,"",VLOOKUP(L9,Anuiteti!$B$13:$E$32,4,FALSE)+VLOOKUP(L9,Anuiteti!$B$13:$E$32,3,FALSE)))</f>
        <v>-14282.487948435444</v>
      </c>
      <c r="M23" s="3">
        <f>IF(M22="",0,IF(M9&gt;UnosPodataka!$M$24,"",VLOOKUP(M9,Anuiteti!$B$13:$E$32,4,FALSE)+VLOOKUP(M9,Anuiteti!$B$13:$E$32,3,FALSE)))</f>
        <v>-15996.386502247697</v>
      </c>
      <c r="N23" s="3">
        <f>IF(N22="",0,IF(N9&gt;UnosPodataka!$M$24,"",VLOOKUP(N9,Anuiteti!$B$13:$E$32,4,FALSE)+VLOOKUP(N9,Anuiteti!$B$13:$E$32,3,FALSE)))</f>
        <v>0</v>
      </c>
      <c r="O23" s="3">
        <f>IF(O22="",0,IF(O9&gt;UnosPodataka!$M$24,"",VLOOKUP(O9,Anuiteti!$B$13:$E$32,4,FALSE)+VLOOKUP(O9,Anuiteti!$B$13:$E$32,3,FALSE)))</f>
        <v>0</v>
      </c>
      <c r="P23" s="3">
        <f>IF(P22="",0,IF(P9&gt;UnosPodataka!$M$24,"",VLOOKUP(P9,Anuiteti!$B$13:$E$32,4,FALSE)+VLOOKUP(P9,Anuiteti!$B$13:$E$32,3,FALSE)))</f>
        <v>0</v>
      </c>
      <c r="Q23" s="3">
        <f>IF(Q22="",0,IF(Q9&gt;UnosPodataka!$M$24,"",VLOOKUP(Q9,Anuiteti!$B$13:$E$32,4,FALSE)+VLOOKUP(Q9,Anuiteti!$B$13:$E$32,3,FALSE)))</f>
        <v>0</v>
      </c>
      <c r="R23" s="3">
        <f>IF(R22="",0,IF(R9&gt;UnosPodataka!$M$24,"",VLOOKUP(R9,Anuiteti!$B$13:$E$32,4,FALSE)+VLOOKUP(R9,Anuiteti!$B$13:$E$32,3,FALSE)))</f>
        <v>0</v>
      </c>
      <c r="S23" s="3">
        <f>IF(S22="",0,IF(S9&gt;UnosPodataka!$M$24,"",VLOOKUP(S9,Anuiteti!$B$13:$E$32,4,FALSE)+VLOOKUP(S9,Anuiteti!$B$13:$E$32,3,FALSE)))</f>
        <v>0</v>
      </c>
      <c r="T23" s="3">
        <f>IF(T22="",0,IF(T9&gt;UnosPodataka!$M$24,"",VLOOKUP(T9,Anuiteti!$B$13:$E$32,4,FALSE)+VLOOKUP(T9,Anuiteti!$B$13:$E$32,3,FALSE)))</f>
        <v>0</v>
      </c>
      <c r="U23" s="3">
        <f>IF(U22="",0,IF(U9&gt;UnosPodataka!$M$24,"",VLOOKUP(U9,Anuiteti!$B$13:$E$32,4,FALSE)+VLOOKUP(U9,Anuiteti!$B$13:$E$32,3,FALSE)))</f>
        <v>0</v>
      </c>
      <c r="V23" s="3">
        <f>IF(V22="",0,IF(V9&gt;UnosPodataka!$M$24,"",VLOOKUP(V9,Anuiteti!$B$13:$E$32,4,FALSE)+VLOOKUP(V9,Anuiteti!$B$13:$E$32,3,FALSE)))</f>
        <v>0</v>
      </c>
      <c r="W23" s="3">
        <f>IF(W22="",0,IF(W9&gt;UnosPodataka!$M$24,"",VLOOKUP(W9,Anuiteti!$B$13:$E$32,4,FALSE)+VLOOKUP(W9,Anuiteti!$B$13:$E$32,3,FALSE)))</f>
        <v>0</v>
      </c>
      <c r="X23" s="3">
        <f>IF(X22="",0,IF(X9&gt;UnosPodataka!$M$24,"",VLOOKUP(X9,Anuiteti!$B$13:$E$32,4,FALSE)+VLOOKUP(X9,Anuiteti!$B$13:$E$32,3,FALSE)))</f>
        <v>0</v>
      </c>
      <c r="Y23" s="3">
        <f>IF(Y22="",0,IF(Y9&gt;UnosPodataka!$M$24,"",VLOOKUP(Y9,Anuiteti!$B$13:$E$32,4,FALSE)+VLOOKUP(Y9,Anuiteti!$B$13:$E$32,3,FALSE)))</f>
        <v>0</v>
      </c>
    </row>
    <row r="24" spans="1:25" x14ac:dyDescent="0.25">
      <c r="A24" s="78" t="s">
        <v>118</v>
      </c>
      <c r="B24" s="78"/>
      <c r="C24" s="78"/>
      <c r="D24" s="78"/>
      <c r="F24" s="3">
        <f>IF(F9&lt;&gt;"",-UnosPodataka!$M$9,"")</f>
        <v>0</v>
      </c>
      <c r="G24" s="3">
        <f>IF(G9&lt;&gt;"",-UnosPodataka!$M$9,"")</f>
        <v>0</v>
      </c>
      <c r="H24" s="3">
        <f>IF(H9&lt;&gt;"",-UnosPodataka!$M$9,"")</f>
        <v>0</v>
      </c>
      <c r="I24" s="3">
        <f>IF(I9&lt;&gt;"",-UnosPodataka!$M$9,"")</f>
        <v>0</v>
      </c>
      <c r="J24" s="3">
        <f>IF(J9&lt;&gt;"",-UnosPodataka!$M$9,"")</f>
        <v>0</v>
      </c>
      <c r="K24" s="3">
        <f>IF(K9&lt;&gt;"",-UnosPodataka!$M$9,"")</f>
        <v>0</v>
      </c>
      <c r="L24" s="3">
        <f>IF(L9&lt;&gt;"",-UnosPodataka!$M$9,"")</f>
        <v>0</v>
      </c>
      <c r="M24" s="3">
        <f>IF(M9&lt;&gt;"",-UnosPodataka!$M$9,"")</f>
        <v>0</v>
      </c>
      <c r="N24" s="3">
        <f>IF(N9&lt;&gt;"",-UnosPodataka!$M$9,"")</f>
        <v>0</v>
      </c>
      <c r="O24" s="3">
        <f>IF(O9&lt;&gt;"",-UnosPodataka!$M$9,"")</f>
        <v>0</v>
      </c>
      <c r="P24" s="3">
        <f>IF(P9&lt;&gt;"",-UnosPodataka!$M$9,"")</f>
        <v>0</v>
      </c>
      <c r="Q24" s="3">
        <f>IF(Q9&lt;&gt;"",-UnosPodataka!$M$9,"")</f>
        <v>0</v>
      </c>
      <c r="R24" s="3">
        <f>IF(R9&lt;&gt;"",-UnosPodataka!$M$9,"")</f>
        <v>0</v>
      </c>
      <c r="S24" s="3">
        <f>IF(S9&lt;&gt;"",-UnosPodataka!$M$9,"")</f>
        <v>0</v>
      </c>
      <c r="T24" s="3">
        <f>IF(T9&lt;&gt;"",-UnosPodataka!$M$9,"")</f>
        <v>0</v>
      </c>
      <c r="U24" s="3">
        <f>IF(U9&lt;&gt;"",-UnosPodataka!$M$9,"")</f>
        <v>0</v>
      </c>
      <c r="V24" s="3">
        <f>IF(V9&lt;&gt;"",-UnosPodataka!$M$9,"")</f>
        <v>0</v>
      </c>
      <c r="W24" s="3">
        <f>IF(W9&lt;&gt;"",-UnosPodataka!$M$9,"")</f>
        <v>0</v>
      </c>
      <c r="X24" s="3">
        <f>IF(X9&lt;&gt;"",-UnosPodataka!$M$9,"")</f>
        <v>0</v>
      </c>
      <c r="Y24" s="3">
        <f>IF(Y9&lt;&gt;"",-UnosPodataka!$M$9,"")</f>
        <v>0</v>
      </c>
    </row>
    <row r="25" spans="1:25" x14ac:dyDescent="0.25">
      <c r="A25" s="78" t="s">
        <v>119</v>
      </c>
      <c r="B25" s="78"/>
      <c r="C25" s="78"/>
      <c r="D25" s="78"/>
      <c r="F25" s="3">
        <f>IF(F9&lt;&gt;"",-Investment*UnosPodataka!$M$11,"")</f>
        <v>-4320</v>
      </c>
      <c r="G25" s="3">
        <f>IF(G9&lt;&gt;"",-Investment*UnosPodataka!$M$11,"")</f>
        <v>-4320</v>
      </c>
      <c r="H25" s="3">
        <f>IF(H9&lt;&gt;"",-Investment*UnosPodataka!$M$11,"")</f>
        <v>-4320</v>
      </c>
      <c r="I25" s="3">
        <f>IF(I9&lt;&gt;"",-Investment*UnosPodataka!$M$11,"")</f>
        <v>-4320</v>
      </c>
      <c r="J25" s="3">
        <f>IF(J9&lt;&gt;"",-Investment*UnosPodataka!$M$11,"")</f>
        <v>-4320</v>
      </c>
      <c r="K25" s="3">
        <f>IF(K9&lt;&gt;"",-Investment*UnosPodataka!$M$11,"")</f>
        <v>-4320</v>
      </c>
      <c r="L25" s="3">
        <f>IF(L9&lt;&gt;"",-Investment*UnosPodataka!$M$11,"")</f>
        <v>-4320</v>
      </c>
      <c r="M25" s="3">
        <f>IF(M9&lt;&gt;"",-Investment*UnosPodataka!$M$11,"")</f>
        <v>-4320</v>
      </c>
      <c r="N25" s="3">
        <f>IF(N9&lt;&gt;"",-Investment*UnosPodataka!$M$11,"")</f>
        <v>-4320</v>
      </c>
      <c r="O25" s="3">
        <f>IF(O9&lt;&gt;"",-Investment*UnosPodataka!$M$11,"")</f>
        <v>-4320</v>
      </c>
      <c r="P25" s="3">
        <f>IF(P9&lt;&gt;"",-Investment*UnosPodataka!$M$11,"")</f>
        <v>-4320</v>
      </c>
      <c r="Q25" s="3">
        <f>IF(Q9&lt;&gt;"",-Investment*UnosPodataka!$M$11,"")</f>
        <v>-4320</v>
      </c>
      <c r="R25" s="3">
        <f>IF(R9&lt;&gt;"",-Investment*UnosPodataka!$M$11,"")</f>
        <v>-4320</v>
      </c>
      <c r="S25" s="3">
        <f>IF(S9&lt;&gt;"",-Investment*UnosPodataka!$M$11,"")</f>
        <v>-4320</v>
      </c>
      <c r="T25" s="3">
        <f>IF(T9&lt;&gt;"",-Investment*UnosPodataka!$M$11,"")</f>
        <v>-4320</v>
      </c>
      <c r="U25" s="3">
        <f>IF(U9&lt;&gt;"",-Investment*UnosPodataka!$M$11,"")</f>
        <v>-4320</v>
      </c>
      <c r="V25" s="3">
        <f>IF(V9&lt;&gt;"",-Investment*UnosPodataka!$M$11,"")</f>
        <v>-4320</v>
      </c>
      <c r="W25" s="3">
        <f>IF(W9&lt;&gt;"",-Investment*UnosPodataka!$M$11,"")</f>
        <v>-4320</v>
      </c>
      <c r="X25" s="3">
        <f>IF(X9&lt;&gt;"",-Investment*UnosPodataka!$M$11,"")</f>
        <v>-4320</v>
      </c>
      <c r="Y25" s="3">
        <f>IF(Y9&lt;&gt;"",-Investment*UnosPodataka!$M$11,"")</f>
        <v>-4320</v>
      </c>
    </row>
    <row r="26" spans="1:25" x14ac:dyDescent="0.25">
      <c r="A26" s="78" t="s">
        <v>164</v>
      </c>
      <c r="B26" s="78"/>
      <c r="C26" s="78"/>
      <c r="D26" s="78"/>
      <c r="F26" s="3">
        <f>IF(F9&lt;&gt;"",-Investment*UnosPodataka!$M$12,"")</f>
        <v>-3600</v>
      </c>
      <c r="G26" s="3">
        <f>IF(G9&lt;&gt;"",-Investment*UnosPodataka!$M$12,"")</f>
        <v>-3600</v>
      </c>
      <c r="H26" s="3">
        <f>IF(H9&lt;&gt;"",-Investment*UnosPodataka!$M$12,"")</f>
        <v>-3600</v>
      </c>
      <c r="I26" s="3">
        <f>IF(I9&lt;&gt;"",-Investment*UnosPodataka!$M$12,"")</f>
        <v>-3600</v>
      </c>
      <c r="J26" s="3">
        <f>IF(J9&lt;&gt;"",-Investment*UnosPodataka!$M$12,"")</f>
        <v>-3600</v>
      </c>
      <c r="K26" s="3">
        <f>IF(K9&lt;&gt;"",-Investment*UnosPodataka!$M$12,"")</f>
        <v>-3600</v>
      </c>
      <c r="L26" s="3">
        <f>IF(L9&lt;&gt;"",-Investment*UnosPodataka!$M$12,"")</f>
        <v>-3600</v>
      </c>
      <c r="M26" s="3">
        <f>IF(M9&lt;&gt;"",-Investment*UnosPodataka!$M$12,"")</f>
        <v>-3600</v>
      </c>
      <c r="N26" s="3">
        <f>IF(N9&lt;&gt;"",-Investment*UnosPodataka!$M$12,"")</f>
        <v>-3600</v>
      </c>
      <c r="O26" s="3">
        <f>IF(O9&lt;&gt;"",-Investment*UnosPodataka!$M$12,"")</f>
        <v>-3600</v>
      </c>
      <c r="P26" s="3">
        <f>IF(P9&lt;&gt;"",-Investment*UnosPodataka!$M$12,"")</f>
        <v>-3600</v>
      </c>
      <c r="Q26" s="3">
        <f>IF(Q9&lt;&gt;"",-Investment*UnosPodataka!$M$12,"")</f>
        <v>-3600</v>
      </c>
      <c r="R26" s="3">
        <f>IF(R9&lt;&gt;"",-Investment*UnosPodataka!$M$12,"")</f>
        <v>-3600</v>
      </c>
      <c r="S26" s="3">
        <f>IF(S9&lt;&gt;"",-Investment*UnosPodataka!$M$12,"")</f>
        <v>-3600</v>
      </c>
      <c r="T26" s="3">
        <f>IF(T9&lt;&gt;"",-Investment*UnosPodataka!$M$12,"")</f>
        <v>-3600</v>
      </c>
      <c r="U26" s="3">
        <f>IF(U9&lt;&gt;"",-Investment*UnosPodataka!$M$12,"")</f>
        <v>-3600</v>
      </c>
      <c r="V26" s="3">
        <f>IF(V9&lt;&gt;"",-Investment*UnosPodataka!$M$12,"")</f>
        <v>-3600</v>
      </c>
      <c r="W26" s="3">
        <f>IF(W9&lt;&gt;"",-Investment*UnosPodataka!$M$12,"")</f>
        <v>-3600</v>
      </c>
      <c r="X26" s="3">
        <f>IF(X9&lt;&gt;"",-Investment*UnosPodataka!$M$12,"")</f>
        <v>-3600</v>
      </c>
      <c r="Y26" s="3">
        <f>IF(Y9&lt;&gt;"",-Investment*UnosPodataka!$M$12,"")</f>
        <v>-3600</v>
      </c>
    </row>
    <row r="27" spans="1:25" x14ac:dyDescent="0.25">
      <c r="A27" s="78" t="s">
        <v>140</v>
      </c>
      <c r="B27" s="78"/>
      <c r="C27" s="78"/>
      <c r="D27" s="78"/>
      <c r="F27" s="3">
        <f>IF(F9&lt;&gt;"",-(1-UnosPodataka!$M$10)*F18,"")</f>
        <v>0</v>
      </c>
      <c r="G27" s="3">
        <f>IF(G9&lt;&gt;"",-(1-UnosPodataka!$M$10)*G18,"")</f>
        <v>0</v>
      </c>
      <c r="H27" s="3">
        <f>IF(H9&lt;&gt;"",-(1-UnosPodataka!$M$10)*H18,"")</f>
        <v>0</v>
      </c>
      <c r="I27" s="3">
        <f>IF(I9&lt;&gt;"",-(1-UnosPodataka!$M$10)*I18,"")</f>
        <v>0</v>
      </c>
      <c r="J27" s="3">
        <f>IF(J9&lt;&gt;"",-(1-UnosPodataka!$M$10)*J18,"")</f>
        <v>0</v>
      </c>
      <c r="K27" s="3">
        <f>IF(K9&lt;&gt;"",-(1-UnosPodataka!$M$10)*K18,"")</f>
        <v>0</v>
      </c>
      <c r="L27" s="3">
        <f>IF(L9&lt;&gt;"",-(1-UnosPodataka!$M$10)*L18,"")</f>
        <v>0</v>
      </c>
      <c r="M27" s="3">
        <f>IF(M9&lt;&gt;"",-(1-UnosPodataka!$M$10)*M18,"")</f>
        <v>0</v>
      </c>
      <c r="N27" s="3">
        <f>IF(N9&lt;&gt;"",-(1-UnosPodataka!$M$10)*N18,"")</f>
        <v>0</v>
      </c>
      <c r="O27" s="3">
        <f>IF(O9&lt;&gt;"",-(1-UnosPodataka!$M$10)*O18,"")</f>
        <v>0</v>
      </c>
      <c r="P27" s="3">
        <f>IF(P9&lt;&gt;"",-(1-UnosPodataka!$M$10)*P18,"")</f>
        <v>0</v>
      </c>
      <c r="Q27" s="3">
        <f>IF(Q9&lt;&gt;"",-(1-UnosPodataka!$M$10)*Q18,"")</f>
        <v>0</v>
      </c>
      <c r="R27" s="3">
        <f>IF(R9&lt;&gt;"",-(1-UnosPodataka!$M$10)*R18,"")</f>
        <v>0</v>
      </c>
      <c r="S27" s="3">
        <f>IF(S9&lt;&gt;"",-(1-UnosPodataka!$M$10)*S18,"")</f>
        <v>0</v>
      </c>
      <c r="T27" s="3">
        <f>IF(T9&lt;&gt;"",-(1-UnosPodataka!$M$10)*T18,"")</f>
        <v>0</v>
      </c>
      <c r="U27" s="3">
        <f>IF(U9&lt;&gt;"",-(1-UnosPodataka!$M$10)*U18,"")</f>
        <v>0</v>
      </c>
      <c r="V27" s="3">
        <f>IF(V9&lt;&gt;"",-(1-UnosPodataka!$M$10)*V18,"")</f>
        <v>0</v>
      </c>
      <c r="W27" s="3">
        <f>IF(W9&lt;&gt;"",-(1-UnosPodataka!$M$10)*W18,"")</f>
        <v>0</v>
      </c>
      <c r="X27" s="3">
        <f>IF(X9&lt;&gt;"",-(1-UnosPodataka!$M$10)*X18,"")</f>
        <v>0</v>
      </c>
      <c r="Y27" s="3">
        <f>IF(Y9&lt;&gt;"",-(1-UnosPodataka!$M$10)*Y18,"")</f>
        <v>0</v>
      </c>
    </row>
    <row r="28" spans="1:25" x14ac:dyDescent="0.25">
      <c r="A28" s="84" t="s">
        <v>120</v>
      </c>
      <c r="B28" s="84"/>
      <c r="C28" s="84"/>
      <c r="D28" s="84"/>
      <c r="E28" s="38"/>
      <c r="F28" s="39">
        <f>IF(F9&lt;&gt;"",SUM(F22:F27),"")</f>
        <v>-25835.952882517424</v>
      </c>
      <c r="G28" s="39">
        <f t="shared" ref="G28:Y28" si="1">IF(G9&lt;&gt;"",SUM(G22:G27),"")</f>
        <v>-25835.952882517424</v>
      </c>
      <c r="H28" s="39">
        <f t="shared" si="1"/>
        <v>-25835.952882517424</v>
      </c>
      <c r="I28" s="39">
        <f t="shared" si="1"/>
        <v>-25835.952882517424</v>
      </c>
      <c r="J28" s="39">
        <f t="shared" si="1"/>
        <v>-25835.952882517424</v>
      </c>
      <c r="K28" s="39">
        <f t="shared" si="1"/>
        <v>-25835.952882517424</v>
      </c>
      <c r="L28" s="39">
        <f t="shared" si="1"/>
        <v>-25835.952882517424</v>
      </c>
      <c r="M28" s="39">
        <f t="shared" si="1"/>
        <v>-25835.952882517424</v>
      </c>
      <c r="N28" s="39">
        <f t="shared" si="1"/>
        <v>-7920</v>
      </c>
      <c r="O28" s="39">
        <f t="shared" si="1"/>
        <v>-7920</v>
      </c>
      <c r="P28" s="39">
        <f t="shared" si="1"/>
        <v>-7920</v>
      </c>
      <c r="Q28" s="39">
        <f t="shared" si="1"/>
        <v>-7920</v>
      </c>
      <c r="R28" s="39">
        <f t="shared" si="1"/>
        <v>-7920</v>
      </c>
      <c r="S28" s="39">
        <f t="shared" si="1"/>
        <v>-7920</v>
      </c>
      <c r="T28" s="39">
        <f t="shared" si="1"/>
        <v>-7920</v>
      </c>
      <c r="U28" s="39">
        <f t="shared" si="1"/>
        <v>-7920</v>
      </c>
      <c r="V28" s="39">
        <f t="shared" si="1"/>
        <v>-7920</v>
      </c>
      <c r="W28" s="39">
        <f t="shared" si="1"/>
        <v>-7920</v>
      </c>
      <c r="X28" s="39">
        <f t="shared" si="1"/>
        <v>-7920</v>
      </c>
      <c r="Y28" s="39">
        <f t="shared" si="1"/>
        <v>-7920</v>
      </c>
    </row>
    <row r="30" spans="1:25" x14ac:dyDescent="0.25">
      <c r="A30" t="s">
        <v>165</v>
      </c>
      <c r="E30" s="3">
        <f>-SUM(E11:E13)</f>
        <v>-144000</v>
      </c>
      <c r="F30" s="3">
        <f>+F28-F26-F33</f>
        <v>-22762.440125435485</v>
      </c>
      <c r="G30" s="3">
        <f t="shared" ref="G30:Y30" si="2">+G28-G26-G33</f>
        <v>-22892.687277320798</v>
      </c>
      <c r="H30" s="3">
        <f t="shared" si="2"/>
        <v>-23038.564087432347</v>
      </c>
      <c r="I30" s="3">
        <f t="shared" si="2"/>
        <v>-23201.946114757287</v>
      </c>
      <c r="J30" s="3">
        <f t="shared" si="2"/>
        <v>-23384.933985361215</v>
      </c>
      <c r="K30" s="3">
        <f t="shared" si="2"/>
        <v>-23589.880400437618</v>
      </c>
      <c r="L30" s="3">
        <f t="shared" si="2"/>
        <v>-23819.420385323188</v>
      </c>
      <c r="M30" s="3">
        <f t="shared" si="2"/>
        <v>-24076.505168395026</v>
      </c>
      <c r="N30" s="3">
        <f t="shared" si="2"/>
        <v>-6448.4872429180596</v>
      </c>
      <c r="O30" s="3">
        <f t="shared" si="2"/>
        <v>-6448.4872429180596</v>
      </c>
      <c r="P30" s="3">
        <f t="shared" si="2"/>
        <v>-6448.4872429180596</v>
      </c>
      <c r="Q30" s="3">
        <f t="shared" si="2"/>
        <v>-6448.4872429180596</v>
      </c>
      <c r="R30" s="3">
        <f t="shared" si="2"/>
        <v>-6448.4872429180596</v>
      </c>
      <c r="S30" s="3">
        <f t="shared" si="2"/>
        <v>-6448.4872429180596</v>
      </c>
      <c r="T30" s="3">
        <f t="shared" si="2"/>
        <v>-6448.4872429180596</v>
      </c>
      <c r="U30" s="3">
        <f t="shared" si="2"/>
        <v>-6448.4872429180596</v>
      </c>
      <c r="V30" s="3">
        <f t="shared" si="2"/>
        <v>-6448.4872429180596</v>
      </c>
      <c r="W30" s="3">
        <f t="shared" si="2"/>
        <v>-6448.4872429180596</v>
      </c>
      <c r="X30" s="3">
        <f t="shared" si="2"/>
        <v>-6448.4872429180596</v>
      </c>
      <c r="Y30" s="3">
        <f t="shared" si="2"/>
        <v>-6448.4872429180596</v>
      </c>
    </row>
    <row r="31" spans="1:25" x14ac:dyDescent="0.25">
      <c r="A31" s="70" t="s">
        <v>166</v>
      </c>
      <c r="B31" s="70"/>
      <c r="C31" s="70"/>
      <c r="D31" s="70"/>
      <c r="F31" s="3">
        <f>IF(F9&lt;&gt;"",F19+F28-F23,"")</f>
        <v>3509.914952787065</v>
      </c>
      <c r="G31" s="3">
        <f t="shared" ref="G31:Y31" si="3">IF(G9&lt;&gt;"",G19+G28-G23,"")</f>
        <v>4378.2292986891553</v>
      </c>
      <c r="H31" s="3">
        <f t="shared" si="3"/>
        <v>5350.7413660994971</v>
      </c>
      <c r="I31" s="3">
        <f t="shared" si="3"/>
        <v>6439.9548815990784</v>
      </c>
      <c r="J31" s="3">
        <f t="shared" si="3"/>
        <v>7659.8740189586115</v>
      </c>
      <c r="K31" s="3">
        <f t="shared" si="3"/>
        <v>9026.1834528012878</v>
      </c>
      <c r="L31" s="3">
        <f t="shared" si="3"/>
        <v>10556.450018705085</v>
      </c>
      <c r="M31" s="3">
        <f t="shared" si="3"/>
        <v>12270.348572517338</v>
      </c>
      <c r="N31" s="3">
        <f t="shared" si="3"/>
        <v>14189.914952787065</v>
      </c>
      <c r="O31" s="3">
        <f t="shared" si="3"/>
        <v>14189.914952787065</v>
      </c>
      <c r="P31" s="3">
        <f t="shared" si="3"/>
        <v>14189.914952787065</v>
      </c>
      <c r="Q31" s="3">
        <f t="shared" si="3"/>
        <v>14189.914952787065</v>
      </c>
      <c r="R31" s="3">
        <f t="shared" si="3"/>
        <v>14189.914952787065</v>
      </c>
      <c r="S31" s="3">
        <f t="shared" si="3"/>
        <v>14189.914952787065</v>
      </c>
      <c r="T31" s="3">
        <f t="shared" si="3"/>
        <v>14189.914952787065</v>
      </c>
      <c r="U31" s="3">
        <f t="shared" si="3"/>
        <v>14189.914952787065</v>
      </c>
      <c r="V31" s="3">
        <f t="shared" si="3"/>
        <v>14189.914952787065</v>
      </c>
      <c r="W31" s="3">
        <f t="shared" si="3"/>
        <v>14189.914952787065</v>
      </c>
      <c r="X31" s="3">
        <f t="shared" si="3"/>
        <v>14189.914952787065</v>
      </c>
      <c r="Y31" s="3">
        <f t="shared" si="3"/>
        <v>14189.914952787065</v>
      </c>
    </row>
    <row r="32" spans="1:25" x14ac:dyDescent="0.25">
      <c r="A32" s="83"/>
      <c r="B32" s="83"/>
      <c r="C32" s="83"/>
      <c r="D32" s="83"/>
    </row>
    <row r="33" spans="1:25" x14ac:dyDescent="0.25">
      <c r="A33" s="78" t="s">
        <v>121</v>
      </c>
      <c r="B33" s="78"/>
      <c r="C33" s="78"/>
      <c r="D33" s="78"/>
      <c r="F33" s="3">
        <f>IF(F9&lt;&gt;"",IF(F31&gt;0,F31*VAT,0),"")</f>
        <v>526.48724291805968</v>
      </c>
      <c r="G33" s="3">
        <f t="shared" ref="G33:Y33" si="4">IF(G9&lt;&gt;"",IF(G31&gt;0,G31*VAT,0),"")</f>
        <v>656.73439480337322</v>
      </c>
      <c r="H33" s="3">
        <f t="shared" si="4"/>
        <v>802.61120491492454</v>
      </c>
      <c r="I33" s="3">
        <f t="shared" si="4"/>
        <v>965.99323223986175</v>
      </c>
      <c r="J33" s="3">
        <f t="shared" si="4"/>
        <v>1148.9811028437916</v>
      </c>
      <c r="K33" s="3">
        <f t="shared" si="4"/>
        <v>1353.9275179201932</v>
      </c>
      <c r="L33" s="3">
        <f t="shared" si="4"/>
        <v>1583.4675028057627</v>
      </c>
      <c r="M33" s="3">
        <f t="shared" si="4"/>
        <v>1840.5522858776005</v>
      </c>
      <c r="N33" s="3">
        <f t="shared" si="4"/>
        <v>2128.4872429180596</v>
      </c>
      <c r="O33" s="3">
        <f t="shared" si="4"/>
        <v>2128.4872429180596</v>
      </c>
      <c r="P33" s="3">
        <f t="shared" si="4"/>
        <v>2128.4872429180596</v>
      </c>
      <c r="Q33" s="3">
        <f t="shared" si="4"/>
        <v>2128.4872429180596</v>
      </c>
      <c r="R33" s="3">
        <f t="shared" si="4"/>
        <v>2128.4872429180596</v>
      </c>
      <c r="S33" s="3">
        <f t="shared" si="4"/>
        <v>2128.4872429180596</v>
      </c>
      <c r="T33" s="3">
        <f t="shared" si="4"/>
        <v>2128.4872429180596</v>
      </c>
      <c r="U33" s="3">
        <f t="shared" si="4"/>
        <v>2128.4872429180596</v>
      </c>
      <c r="V33" s="3">
        <f t="shared" si="4"/>
        <v>2128.4872429180596</v>
      </c>
      <c r="W33" s="3">
        <f t="shared" si="4"/>
        <v>2128.4872429180596</v>
      </c>
      <c r="X33" s="3">
        <f t="shared" si="4"/>
        <v>2128.4872429180596</v>
      </c>
      <c r="Y33" s="3">
        <f t="shared" si="4"/>
        <v>2128.4872429180596</v>
      </c>
    </row>
    <row r="34" spans="1:25" x14ac:dyDescent="0.25">
      <c r="A34" s="70" t="s">
        <v>122</v>
      </c>
      <c r="B34" s="70"/>
      <c r="C34" s="70"/>
      <c r="D34" s="70"/>
      <c r="E34" s="3"/>
      <c r="F34" s="3">
        <f>IF(F9&lt;&gt;"",F31-F33,"")</f>
        <v>2983.4277098690054</v>
      </c>
      <c r="G34" s="3">
        <f t="shared" ref="G34:Y34" si="5">IF(G9&lt;&gt;"",G31-G33,"")</f>
        <v>3721.4949038857822</v>
      </c>
      <c r="H34" s="3">
        <f t="shared" si="5"/>
        <v>4548.1301611845729</v>
      </c>
      <c r="I34" s="3">
        <f t="shared" si="5"/>
        <v>5473.9616493592166</v>
      </c>
      <c r="J34" s="3">
        <f t="shared" si="5"/>
        <v>6510.8929161148199</v>
      </c>
      <c r="K34" s="3">
        <f t="shared" si="5"/>
        <v>7672.2559348810946</v>
      </c>
      <c r="L34" s="3">
        <f t="shared" si="5"/>
        <v>8972.9825158993226</v>
      </c>
      <c r="M34" s="3">
        <f t="shared" si="5"/>
        <v>10429.796286639737</v>
      </c>
      <c r="N34" s="3">
        <f t="shared" si="5"/>
        <v>12061.427709869005</v>
      </c>
      <c r="O34" s="3">
        <f t="shared" si="5"/>
        <v>12061.427709869005</v>
      </c>
      <c r="P34" s="3">
        <f t="shared" si="5"/>
        <v>12061.427709869005</v>
      </c>
      <c r="Q34" s="3">
        <f t="shared" si="5"/>
        <v>12061.427709869005</v>
      </c>
      <c r="R34" s="3">
        <f t="shared" si="5"/>
        <v>12061.427709869005</v>
      </c>
      <c r="S34" s="3">
        <f t="shared" si="5"/>
        <v>12061.427709869005</v>
      </c>
      <c r="T34" s="3">
        <f t="shared" si="5"/>
        <v>12061.427709869005</v>
      </c>
      <c r="U34" s="3">
        <f t="shared" si="5"/>
        <v>12061.427709869005</v>
      </c>
      <c r="V34" s="3">
        <f t="shared" si="5"/>
        <v>12061.427709869005</v>
      </c>
      <c r="W34" s="3">
        <f t="shared" si="5"/>
        <v>12061.427709869005</v>
      </c>
      <c r="X34" s="3">
        <f t="shared" si="5"/>
        <v>12061.427709869005</v>
      </c>
      <c r="Y34" s="3">
        <f t="shared" si="5"/>
        <v>12061.427709869005</v>
      </c>
    </row>
    <row r="36" spans="1:25" x14ac:dyDescent="0.25">
      <c r="A36" s="42" t="s">
        <v>175</v>
      </c>
      <c r="E36" s="3">
        <f>-SUM(E11:E13)</f>
        <v>-144000</v>
      </c>
      <c r="F36" s="3">
        <f>+F34+F23-F26</f>
        <v>-652.52517264841845</v>
      </c>
      <c r="G36" s="3">
        <f t="shared" ref="G36:Y36" si="6">+G34+G23-G26</f>
        <v>-782.77232453373199</v>
      </c>
      <c r="H36" s="3">
        <f t="shared" si="6"/>
        <v>-928.64913464528308</v>
      </c>
      <c r="I36" s="3">
        <f t="shared" si="6"/>
        <v>-1092.0311619702206</v>
      </c>
      <c r="J36" s="3">
        <f t="shared" si="6"/>
        <v>-1275.0190325741505</v>
      </c>
      <c r="K36" s="3">
        <f t="shared" si="6"/>
        <v>-1479.9654476505521</v>
      </c>
      <c r="L36" s="3">
        <f t="shared" si="6"/>
        <v>-1709.5054325361216</v>
      </c>
      <c r="M36" s="3">
        <f t="shared" si="6"/>
        <v>-1966.5902156079592</v>
      </c>
      <c r="N36" s="3">
        <f t="shared" si="6"/>
        <v>15661.427709869005</v>
      </c>
      <c r="O36" s="3">
        <f t="shared" si="6"/>
        <v>15661.427709869005</v>
      </c>
      <c r="P36" s="3">
        <f t="shared" si="6"/>
        <v>15661.427709869005</v>
      </c>
      <c r="Q36" s="3">
        <f t="shared" si="6"/>
        <v>15661.427709869005</v>
      </c>
      <c r="R36" s="3">
        <f t="shared" si="6"/>
        <v>15661.427709869005</v>
      </c>
      <c r="S36" s="3">
        <f t="shared" si="6"/>
        <v>15661.427709869005</v>
      </c>
      <c r="T36" s="3">
        <f t="shared" si="6"/>
        <v>15661.427709869005</v>
      </c>
      <c r="U36" s="3">
        <f t="shared" si="6"/>
        <v>15661.427709869005</v>
      </c>
      <c r="V36" s="3">
        <f t="shared" si="6"/>
        <v>15661.427709869005</v>
      </c>
      <c r="W36" s="3">
        <f t="shared" si="6"/>
        <v>15661.427709869005</v>
      </c>
      <c r="X36" s="3">
        <f t="shared" si="6"/>
        <v>15661.427709869005</v>
      </c>
      <c r="Y36" s="3">
        <f t="shared" si="6"/>
        <v>15661.427709869005</v>
      </c>
    </row>
    <row r="37" spans="1:25" x14ac:dyDescent="0.25">
      <c r="A37" s="42" t="s">
        <v>176</v>
      </c>
      <c r="E37" s="3">
        <f>+E36</f>
        <v>-144000</v>
      </c>
      <c r="F37" s="3">
        <f>+E37+F36</f>
        <v>-144652.52517264843</v>
      </c>
      <c r="G37" s="3">
        <f t="shared" ref="G37:Y37" si="7">+F37+G36</f>
        <v>-145435.29749718215</v>
      </c>
      <c r="H37" s="3">
        <f t="shared" si="7"/>
        <v>-146363.94663182745</v>
      </c>
      <c r="I37" s="3">
        <f t="shared" si="7"/>
        <v>-147455.97779379768</v>
      </c>
      <c r="J37" s="3">
        <f t="shared" si="7"/>
        <v>-148730.99682637182</v>
      </c>
      <c r="K37" s="3">
        <f t="shared" si="7"/>
        <v>-150210.96227402237</v>
      </c>
      <c r="L37" s="3">
        <f t="shared" si="7"/>
        <v>-151920.4677065585</v>
      </c>
      <c r="M37" s="3">
        <f t="shared" si="7"/>
        <v>-153887.05792216645</v>
      </c>
      <c r="N37" s="3">
        <f t="shared" si="7"/>
        <v>-138225.63021229746</v>
      </c>
      <c r="O37" s="3">
        <f t="shared" si="7"/>
        <v>-122564.20250242845</v>
      </c>
      <c r="P37" s="3">
        <f t="shared" si="7"/>
        <v>-106902.77479255944</v>
      </c>
      <c r="Q37" s="3">
        <f t="shared" si="7"/>
        <v>-91241.347082690438</v>
      </c>
      <c r="R37" s="3">
        <f t="shared" si="7"/>
        <v>-75579.91937282143</v>
      </c>
      <c r="S37" s="3">
        <f t="shared" si="7"/>
        <v>-59918.491662952423</v>
      </c>
      <c r="T37" s="3">
        <f t="shared" si="7"/>
        <v>-44257.063953083416</v>
      </c>
      <c r="U37" s="3">
        <f t="shared" si="7"/>
        <v>-28595.636243214409</v>
      </c>
      <c r="V37" s="3">
        <f t="shared" si="7"/>
        <v>-12934.208533345403</v>
      </c>
      <c r="W37" s="3">
        <f t="shared" si="7"/>
        <v>2727.2191765236021</v>
      </c>
      <c r="X37" s="3">
        <f t="shared" si="7"/>
        <v>18388.646886392606</v>
      </c>
      <c r="Y37" s="3">
        <f t="shared" si="7"/>
        <v>34050.074596261613</v>
      </c>
    </row>
    <row r="38" spans="1:25" x14ac:dyDescent="0.25">
      <c r="A38" s="16"/>
    </row>
    <row r="39" spans="1:25" x14ac:dyDescent="0.25">
      <c r="A39" s="42" t="s">
        <v>67</v>
      </c>
      <c r="E39" s="7">
        <f>+PomTab1!L25</f>
        <v>8.428819444444445E-2</v>
      </c>
    </row>
    <row r="40" spans="1:25" x14ac:dyDescent="0.25">
      <c r="A40" s="42" t="s">
        <v>177</v>
      </c>
      <c r="E40" s="3">
        <f>IF(E9&lt;&gt;"",E36*(1+$E$39)^-E9,"")</f>
        <v>-144000</v>
      </c>
      <c r="F40">
        <f>IF(F9&lt;&gt;"",F36*(1+$E$39)^-F9,"")</f>
        <v>-601.80049546952057</v>
      </c>
      <c r="G40">
        <f t="shared" ref="G40:Y40" si="8">IF(G9&lt;&gt;"",G36*(1+$E$39)^-G9,"")</f>
        <v>-665.80339283913838</v>
      </c>
      <c r="H40">
        <f t="shared" si="8"/>
        <v>-728.47972758987021</v>
      </c>
      <c r="I40">
        <f t="shared" si="8"/>
        <v>-790.05279602258247</v>
      </c>
      <c r="J40">
        <f t="shared" si="8"/>
        <v>-850.73249432211401</v>
      </c>
      <c r="K40">
        <f t="shared" si="8"/>
        <v>-910.71649058911635</v>
      </c>
      <c r="L40">
        <f t="shared" si="8"/>
        <v>-970.19131005638633</v>
      </c>
      <c r="M40">
        <f t="shared" si="8"/>
        <v>-1029.333340379794</v>
      </c>
      <c r="N40">
        <f t="shared" si="8"/>
        <v>7560.1217017377949</v>
      </c>
      <c r="O40">
        <f t="shared" si="8"/>
        <v>6972.4283087038193</v>
      </c>
      <c r="P40">
        <f t="shared" si="8"/>
        <v>6430.4198315801768</v>
      </c>
      <c r="Q40">
        <f t="shared" si="8"/>
        <v>5930.5449091188566</v>
      </c>
      <c r="R40">
        <f t="shared" si="8"/>
        <v>5469.5282485829175</v>
      </c>
      <c r="S40">
        <f t="shared" si="8"/>
        <v>5044.3491652930279</v>
      </c>
      <c r="T40">
        <f t="shared" si="8"/>
        <v>4652.2217904231584</v>
      </c>
      <c r="U40">
        <f t="shared" si="8"/>
        <v>4290.5768173624838</v>
      </c>
      <c r="V40">
        <f t="shared" si="8"/>
        <v>3957.0446670415345</v>
      </c>
      <c r="W40">
        <f t="shared" si="8"/>
        <v>3649.4399619180595</v>
      </c>
      <c r="X40">
        <f t="shared" si="8"/>
        <v>3365.7472068926459</v>
      </c>
      <c r="Y40">
        <f t="shared" si="8"/>
        <v>3104.1075833322616</v>
      </c>
    </row>
    <row r="41" spans="1:25" x14ac:dyDescent="0.25">
      <c r="A41" s="42" t="s">
        <v>178</v>
      </c>
      <c r="E41" s="3">
        <f>+E40</f>
        <v>-144000</v>
      </c>
      <c r="F41" s="3">
        <f>+E41+F40</f>
        <v>-144601.80049546951</v>
      </c>
      <c r="G41" s="3">
        <f t="shared" ref="G41:X41" si="9">+F41+G40</f>
        <v>-145267.60388830866</v>
      </c>
      <c r="H41" s="3">
        <f t="shared" si="9"/>
        <v>-145996.08361589853</v>
      </c>
      <c r="I41" s="3">
        <f t="shared" si="9"/>
        <v>-146786.13641192112</v>
      </c>
      <c r="J41" s="3">
        <f t="shared" si="9"/>
        <v>-147636.86890624324</v>
      </c>
      <c r="K41" s="3">
        <f t="shared" si="9"/>
        <v>-148547.58539683235</v>
      </c>
      <c r="L41" s="3">
        <f t="shared" si="9"/>
        <v>-149517.77670688875</v>
      </c>
      <c r="M41" s="3">
        <f t="shared" si="9"/>
        <v>-150547.11004726854</v>
      </c>
      <c r="N41" s="3">
        <f t="shared" si="9"/>
        <v>-142986.98834553073</v>
      </c>
      <c r="O41" s="3">
        <f t="shared" si="9"/>
        <v>-136014.56003682691</v>
      </c>
      <c r="P41" s="3">
        <f t="shared" si="9"/>
        <v>-129584.14020524673</v>
      </c>
      <c r="Q41" s="3">
        <f t="shared" si="9"/>
        <v>-123653.59529612787</v>
      </c>
      <c r="R41" s="3">
        <f t="shared" si="9"/>
        <v>-118184.06704754494</v>
      </c>
      <c r="S41" s="3">
        <f t="shared" si="9"/>
        <v>-113139.71788225192</v>
      </c>
      <c r="T41" s="3">
        <f t="shared" si="9"/>
        <v>-108487.49609182877</v>
      </c>
      <c r="U41" s="3">
        <f t="shared" si="9"/>
        <v>-104196.91927446629</v>
      </c>
      <c r="V41" s="3">
        <f t="shared" si="9"/>
        <v>-100239.87460742475</v>
      </c>
      <c r="W41" s="3">
        <f t="shared" si="9"/>
        <v>-96590.434645506684</v>
      </c>
      <c r="X41" s="3">
        <f t="shared" si="9"/>
        <v>-93224.687438614041</v>
      </c>
    </row>
    <row r="42" spans="1:25" x14ac:dyDescent="0.25">
      <c r="A42" s="42"/>
    </row>
    <row r="43" spans="1:25" x14ac:dyDescent="0.25">
      <c r="A43" s="43" t="s">
        <v>179</v>
      </c>
      <c r="B43" s="40"/>
      <c r="C43" s="40"/>
      <c r="D43" s="40"/>
      <c r="E43" s="44">
        <f>+NPV(E39,E36:Y36)</f>
        <v>-83114.969172431811</v>
      </c>
      <c r="F43" s="45"/>
    </row>
    <row r="44" spans="1:25" x14ac:dyDescent="0.25">
      <c r="A44" s="43" t="s">
        <v>180</v>
      </c>
      <c r="B44" s="40"/>
      <c r="C44" s="40"/>
      <c r="D44" s="40"/>
      <c r="E44" s="46">
        <f>+IRR(E36:Y36,10%)</f>
        <v>1.4288484963508541E-2</v>
      </c>
      <c r="F44" s="40"/>
    </row>
    <row r="45" spans="1:25" x14ac:dyDescent="0.25">
      <c r="A45" s="43" t="s">
        <v>181</v>
      </c>
      <c r="B45" s="40"/>
      <c r="C45" s="40"/>
      <c r="D45" s="40"/>
      <c r="E45" s="44" cm="1">
        <f t="array" ref="E45">+NPV(E39,F19:Y19/-NPV(E39,E30:Y30))</f>
        <v>0.7590463912169032</v>
      </c>
      <c r="F45" s="40"/>
    </row>
    <row r="46" spans="1:25" x14ac:dyDescent="0.25">
      <c r="A46" s="43" t="s">
        <v>182</v>
      </c>
      <c r="B46" s="40"/>
      <c r="C46" s="40"/>
      <c r="D46" s="40"/>
      <c r="E46" s="55" cm="1">
        <f t="array" ref="E46">+LOOKUP(INDEX(E37:Y37,MATCH(TRUE,E37:Y37&gt;0,0)),E37:Y37,E9:Y9)</f>
        <v>18</v>
      </c>
      <c r="F46" s="40" t="s">
        <v>184</v>
      </c>
    </row>
    <row r="47" spans="1:25" x14ac:dyDescent="0.25">
      <c r="A47" s="43" t="s">
        <v>183</v>
      </c>
      <c r="B47" s="40"/>
      <c r="C47" s="40"/>
      <c r="D47" s="40"/>
      <c r="E47" s="44" t="e" cm="1">
        <f t="array" ref="E47">+LOOKUP(INDEX(E41:Y41,MATCH(TRUE,E41:Y41&gt;0,0)),E41:Y41,E9:Y9)</f>
        <v>#N/A</v>
      </c>
      <c r="F47" s="40" t="s">
        <v>184</v>
      </c>
    </row>
    <row r="50" spans="1:26" x14ac:dyDescent="0.25">
      <c r="A50" s="78" t="s">
        <v>167</v>
      </c>
      <c r="B50" s="78"/>
      <c r="C50" s="78"/>
      <c r="D50" s="78"/>
      <c r="E50" s="3">
        <f>-SUM(E11:E13)</f>
        <v>-144000</v>
      </c>
      <c r="F50" s="3">
        <f t="shared" ref="F50:Y50" si="10">IF(F9&lt;&gt;"",F28,"")</f>
        <v>-25835.952882517424</v>
      </c>
      <c r="G50" s="3">
        <f t="shared" si="10"/>
        <v>-25835.952882517424</v>
      </c>
      <c r="H50" s="3">
        <f t="shared" si="10"/>
        <v>-25835.952882517424</v>
      </c>
      <c r="I50" s="3">
        <f t="shared" si="10"/>
        <v>-25835.952882517424</v>
      </c>
      <c r="J50" s="3">
        <f t="shared" si="10"/>
        <v>-25835.952882517424</v>
      </c>
      <c r="K50" s="3">
        <f t="shared" si="10"/>
        <v>-25835.952882517424</v>
      </c>
      <c r="L50" s="3">
        <f t="shared" si="10"/>
        <v>-25835.952882517424</v>
      </c>
      <c r="M50" s="3">
        <f t="shared" si="10"/>
        <v>-25835.952882517424</v>
      </c>
      <c r="N50" s="3">
        <f t="shared" si="10"/>
        <v>-7920</v>
      </c>
      <c r="O50" s="3">
        <f t="shared" si="10"/>
        <v>-7920</v>
      </c>
      <c r="P50" s="3">
        <f t="shared" si="10"/>
        <v>-7920</v>
      </c>
      <c r="Q50" s="3">
        <f t="shared" si="10"/>
        <v>-7920</v>
      </c>
      <c r="R50" s="3">
        <f t="shared" si="10"/>
        <v>-7920</v>
      </c>
      <c r="S50" s="3">
        <f t="shared" si="10"/>
        <v>-7920</v>
      </c>
      <c r="T50" s="3">
        <f t="shared" si="10"/>
        <v>-7920</v>
      </c>
      <c r="U50" s="3">
        <f t="shared" si="10"/>
        <v>-7920</v>
      </c>
      <c r="V50" s="3">
        <f t="shared" si="10"/>
        <v>-7920</v>
      </c>
      <c r="W50" s="3">
        <f t="shared" si="10"/>
        <v>-7920</v>
      </c>
      <c r="X50" s="3">
        <f t="shared" si="10"/>
        <v>-7920</v>
      </c>
      <c r="Y50" s="3">
        <f t="shared" si="10"/>
        <v>-7920</v>
      </c>
      <c r="Z50" s="3"/>
    </row>
    <row r="51" spans="1:26" x14ac:dyDescent="0.25">
      <c r="A51" s="78" t="s">
        <v>168</v>
      </c>
      <c r="B51" s="78"/>
      <c r="C51" s="78"/>
      <c r="D51" s="78"/>
      <c r="E51" s="3">
        <f>IF(E9&lt;&gt;"",E50*(1+$E$39)^-E9,"")</f>
        <v>-144000</v>
      </c>
      <c r="F51" s="3">
        <f>IF(F9&lt;&gt;"",F50*(1+$E$39)^-F9,"")</f>
        <v>-23827.570026947462</v>
      </c>
      <c r="G51" s="3">
        <f t="shared" ref="G51:Y51" si="11">IF(G9&lt;&gt;"",G50*(1+$E$39)^-G9,"")</f>
        <v>-21975.310760582397</v>
      </c>
      <c r="H51" s="3">
        <f t="shared" si="11"/>
        <v>-20267.038664791387</v>
      </c>
      <c r="I51" s="3">
        <f t="shared" si="11"/>
        <v>-18691.560757216936</v>
      </c>
      <c r="J51" s="3">
        <f t="shared" si="11"/>
        <v>-17238.554152841174</v>
      </c>
      <c r="K51" s="3">
        <f t="shared" si="11"/>
        <v>-15898.498426125236</v>
      </c>
      <c r="L51" s="3">
        <f t="shared" si="11"/>
        <v>-14662.613231043366</v>
      </c>
      <c r="M51" s="3">
        <f t="shared" si="11"/>
        <v>-13522.800770284171</v>
      </c>
      <c r="N51" s="3">
        <f t="shared" si="11"/>
        <v>-3823.1612715635456</v>
      </c>
      <c r="O51" s="3">
        <f t="shared" si="11"/>
        <v>-3525.9641220408334</v>
      </c>
      <c r="P51" s="3">
        <f t="shared" si="11"/>
        <v>-3251.8698811872864</v>
      </c>
      <c r="Q51" s="3">
        <f t="shared" si="11"/>
        <v>-2999.0826219900359</v>
      </c>
      <c r="R51" s="3">
        <f t="shared" si="11"/>
        <v>-2765.9460255644235</v>
      </c>
      <c r="S51" s="3">
        <f t="shared" si="11"/>
        <v>-2550.9325285807508</v>
      </c>
      <c r="T51" s="3">
        <f t="shared" si="11"/>
        <v>-2352.6333143263346</v>
      </c>
      <c r="U51" s="3">
        <f t="shared" si="11"/>
        <v>-2169.7490818220622</v>
      </c>
      <c r="V51" s="3">
        <f t="shared" si="11"/>
        <v>-2001.0815325106198</v>
      </c>
      <c r="W51" s="3">
        <f t="shared" si="11"/>
        <v>-1845.5255187352766</v>
      </c>
      <c r="X51" s="3">
        <f t="shared" si="11"/>
        <v>-1702.0618025642771</v>
      </c>
      <c r="Y51" s="3">
        <f t="shared" si="11"/>
        <v>-1569.7503775150483</v>
      </c>
      <c r="Z51" s="3"/>
    </row>
    <row r="52" spans="1:26" x14ac:dyDescent="0.25">
      <c r="A52" s="78" t="s">
        <v>169</v>
      </c>
      <c r="B52" s="78"/>
      <c r="C52" s="78"/>
      <c r="D52" s="78"/>
      <c r="E52" s="3">
        <f>+E51</f>
        <v>-144000</v>
      </c>
      <c r="F52" s="3">
        <f>+E52+F51</f>
        <v>-167827.57002694748</v>
      </c>
      <c r="G52" s="3">
        <f t="shared" ref="G52:Y52" si="12">+F52+G51</f>
        <v>-189802.88078752987</v>
      </c>
      <c r="H52" s="3">
        <f t="shared" si="12"/>
        <v>-210069.91945232125</v>
      </c>
      <c r="I52" s="3">
        <f t="shared" si="12"/>
        <v>-228761.48020953819</v>
      </c>
      <c r="J52" s="3">
        <f t="shared" si="12"/>
        <v>-246000.03436237937</v>
      </c>
      <c r="K52" s="3">
        <f t="shared" si="12"/>
        <v>-261898.53278850461</v>
      </c>
      <c r="L52" s="3">
        <f t="shared" si="12"/>
        <v>-276561.146019548</v>
      </c>
      <c r="M52" s="3">
        <f t="shared" si="12"/>
        <v>-290083.9467898322</v>
      </c>
      <c r="N52" s="3">
        <f t="shared" si="12"/>
        <v>-293907.10806139576</v>
      </c>
      <c r="O52" s="3">
        <f t="shared" si="12"/>
        <v>-297433.0721834366</v>
      </c>
      <c r="P52" s="3">
        <f t="shared" si="12"/>
        <v>-300684.94206462387</v>
      </c>
      <c r="Q52" s="3">
        <f t="shared" si="12"/>
        <v>-303684.02468661394</v>
      </c>
      <c r="R52" s="3">
        <f t="shared" si="12"/>
        <v>-306449.97071217839</v>
      </c>
      <c r="S52" s="3">
        <f t="shared" si="12"/>
        <v>-309000.90324075916</v>
      </c>
      <c r="T52" s="3">
        <f t="shared" si="12"/>
        <v>-311353.53655508551</v>
      </c>
      <c r="U52" s="3">
        <f t="shared" si="12"/>
        <v>-313523.28563690756</v>
      </c>
      <c r="V52" s="3">
        <f t="shared" si="12"/>
        <v>-315524.3671694182</v>
      </c>
      <c r="W52" s="3">
        <f t="shared" si="12"/>
        <v>-317369.89268815349</v>
      </c>
      <c r="X52" s="3">
        <f t="shared" si="12"/>
        <v>-319071.95449071779</v>
      </c>
      <c r="Y52" s="3">
        <f t="shared" si="12"/>
        <v>-320641.70486823283</v>
      </c>
    </row>
    <row r="53" spans="1:26" x14ac:dyDescent="0.25">
      <c r="A53" s="78" t="s">
        <v>170</v>
      </c>
      <c r="B53" s="78"/>
      <c r="C53" s="78"/>
      <c r="D53" s="78"/>
      <c r="F53" s="3">
        <f t="shared" ref="F53:Y53" si="13">IF(F9&lt;&gt;"",F19,"")</f>
        <v>22109.914952787065</v>
      </c>
      <c r="G53" s="3">
        <f t="shared" si="13"/>
        <v>22109.914952787065</v>
      </c>
      <c r="H53" s="3">
        <f t="shared" si="13"/>
        <v>22109.914952787065</v>
      </c>
      <c r="I53" s="3">
        <f t="shared" si="13"/>
        <v>22109.914952787065</v>
      </c>
      <c r="J53" s="3">
        <f t="shared" si="13"/>
        <v>22109.914952787065</v>
      </c>
      <c r="K53" s="3">
        <f t="shared" si="13"/>
        <v>22109.914952787065</v>
      </c>
      <c r="L53" s="3">
        <f t="shared" si="13"/>
        <v>22109.914952787065</v>
      </c>
      <c r="M53" s="3">
        <f t="shared" si="13"/>
        <v>22109.914952787065</v>
      </c>
      <c r="N53" s="3">
        <f t="shared" si="13"/>
        <v>22109.914952787065</v>
      </c>
      <c r="O53" s="3">
        <f t="shared" si="13"/>
        <v>22109.914952787065</v>
      </c>
      <c r="P53" s="3">
        <f t="shared" si="13"/>
        <v>22109.914952787065</v>
      </c>
      <c r="Q53" s="3">
        <f t="shared" si="13"/>
        <v>22109.914952787065</v>
      </c>
      <c r="R53" s="3">
        <f t="shared" si="13"/>
        <v>22109.914952787065</v>
      </c>
      <c r="S53" s="3">
        <f t="shared" si="13"/>
        <v>22109.914952787065</v>
      </c>
      <c r="T53" s="3">
        <f t="shared" si="13"/>
        <v>22109.914952787065</v>
      </c>
      <c r="U53" s="3">
        <f t="shared" si="13"/>
        <v>22109.914952787065</v>
      </c>
      <c r="V53" s="3">
        <f t="shared" si="13"/>
        <v>22109.914952787065</v>
      </c>
      <c r="W53" s="3">
        <f t="shared" si="13"/>
        <v>22109.914952787065</v>
      </c>
      <c r="X53" s="3">
        <f t="shared" si="13"/>
        <v>22109.914952787065</v>
      </c>
      <c r="Y53" s="3">
        <f t="shared" si="13"/>
        <v>22109.914952787065</v>
      </c>
    </row>
    <row r="54" spans="1:26" x14ac:dyDescent="0.25">
      <c r="A54" s="78" t="s">
        <v>171</v>
      </c>
      <c r="B54" s="78"/>
      <c r="C54" s="78"/>
      <c r="D54" s="78"/>
      <c r="F54" s="3">
        <f>IF(F9&lt;&gt;"",F53*(1+$E$39)^-F9,"")</f>
        <v>20391.179269562646</v>
      </c>
      <c r="G54" s="3">
        <f t="shared" ref="G54:Y54" si="14">IF(G9&lt;&gt;"",G53*(1+$E$39)^-G9,"")</f>
        <v>18806.051171672538</v>
      </c>
      <c r="H54" s="3">
        <f t="shared" si="14"/>
        <v>17344.144543885006</v>
      </c>
      <c r="I54" s="3">
        <f t="shared" si="14"/>
        <v>15995.880645709331</v>
      </c>
      <c r="J54" s="3">
        <f t="shared" si="14"/>
        <v>14752.425349337242</v>
      </c>
      <c r="K54" s="3">
        <f t="shared" si="14"/>
        <v>13605.631256453849</v>
      </c>
      <c r="L54" s="3">
        <f t="shared" si="14"/>
        <v>12547.984314654417</v>
      </c>
      <c r="M54" s="3">
        <f t="shared" si="14"/>
        <v>11572.554583685765</v>
      </c>
      <c r="N54" s="3">
        <f t="shared" si="14"/>
        <v>10672.950828921623</v>
      </c>
      <c r="O54" s="3">
        <f t="shared" si="14"/>
        <v>9843.2786445582497</v>
      </c>
      <c r="P54" s="3">
        <f t="shared" si="14"/>
        <v>9078.101832144026</v>
      </c>
      <c r="Q54" s="3">
        <f t="shared" si="14"/>
        <v>8372.4067813865313</v>
      </c>
      <c r="R54" s="3">
        <f t="shared" si="14"/>
        <v>7721.5696198521218</v>
      </c>
      <c r="S54" s="3">
        <f t="shared" si="14"/>
        <v>7121.3259163154626</v>
      </c>
      <c r="T54" s="3">
        <f t="shared" si="14"/>
        <v>6567.7427392485879</v>
      </c>
      <c r="U54" s="3">
        <f t="shared" si="14"/>
        <v>6057.1928873704055</v>
      </c>
      <c r="V54" s="3">
        <f t="shared" si="14"/>
        <v>5586.3311234094199</v>
      </c>
      <c r="W54" s="3">
        <f t="shared" si="14"/>
        <v>5152.072255357979</v>
      </c>
      <c r="X54" s="3">
        <f t="shared" si="14"/>
        <v>4751.5709216014666</v>
      </c>
      <c r="Y54" s="3">
        <f t="shared" si="14"/>
        <v>4382.2029474700894</v>
      </c>
    </row>
    <row r="55" spans="1:26" x14ac:dyDescent="0.25">
      <c r="A55" s="78" t="s">
        <v>172</v>
      </c>
      <c r="B55" s="78"/>
      <c r="C55" s="78"/>
      <c r="D55" s="78"/>
      <c r="F55" s="3">
        <f t="shared" ref="F55:Y55" si="15">IF(F9&lt;&gt;"",E55+F54,"")</f>
        <v>20391.179269562646</v>
      </c>
      <c r="G55" s="3">
        <f t="shared" si="15"/>
        <v>39197.23044123518</v>
      </c>
      <c r="H55" s="3">
        <f t="shared" si="15"/>
        <v>56541.374985120186</v>
      </c>
      <c r="I55" s="3">
        <f t="shared" si="15"/>
        <v>72537.255630829517</v>
      </c>
      <c r="J55" s="3">
        <f t="shared" si="15"/>
        <v>87289.680980166755</v>
      </c>
      <c r="K55" s="3">
        <f t="shared" si="15"/>
        <v>100895.31223662061</v>
      </c>
      <c r="L55" s="3">
        <f t="shared" si="15"/>
        <v>113443.29655127502</v>
      </c>
      <c r="M55" s="3">
        <f t="shared" si="15"/>
        <v>125015.85113496079</v>
      </c>
      <c r="N55" s="3">
        <f t="shared" si="15"/>
        <v>135688.8019638824</v>
      </c>
      <c r="O55" s="3">
        <f t="shared" si="15"/>
        <v>145532.08060844065</v>
      </c>
      <c r="P55" s="3">
        <f t="shared" si="15"/>
        <v>154610.18244058467</v>
      </c>
      <c r="Q55" s="3">
        <f t="shared" si="15"/>
        <v>162982.5892219712</v>
      </c>
      <c r="R55" s="3">
        <f t="shared" si="15"/>
        <v>170704.15884182332</v>
      </c>
      <c r="S55" s="3">
        <f t="shared" si="15"/>
        <v>177825.48475813877</v>
      </c>
      <c r="T55" s="3">
        <f t="shared" si="15"/>
        <v>184393.22749738736</v>
      </c>
      <c r="U55" s="3">
        <f t="shared" si="15"/>
        <v>190450.42038475777</v>
      </c>
      <c r="V55" s="3">
        <f t="shared" si="15"/>
        <v>196036.75150816719</v>
      </c>
      <c r="W55" s="3">
        <f t="shared" si="15"/>
        <v>201188.82376352517</v>
      </c>
      <c r="X55" s="3">
        <f t="shared" si="15"/>
        <v>205940.39468512664</v>
      </c>
      <c r="Y55" s="3">
        <f t="shared" si="15"/>
        <v>210322.59763259673</v>
      </c>
    </row>
    <row r="56" spans="1:26" x14ac:dyDescent="0.25">
      <c r="A56" s="78" t="s">
        <v>173</v>
      </c>
      <c r="B56" s="78"/>
      <c r="C56" s="78"/>
      <c r="D56" s="78"/>
      <c r="F56" s="3">
        <f t="shared" ref="F56:Y56" si="16">IF(F9&lt;&gt;"",F55+F52,"")</f>
        <v>-147436.39075738483</v>
      </c>
      <c r="G56" s="3">
        <f t="shared" si="16"/>
        <v>-150605.65034629469</v>
      </c>
      <c r="H56" s="3">
        <f t="shared" si="16"/>
        <v>-153528.54446720105</v>
      </c>
      <c r="I56" s="3">
        <f t="shared" si="16"/>
        <v>-156224.22457870867</v>
      </c>
      <c r="J56" s="3">
        <f t="shared" si="16"/>
        <v>-158710.35338221263</v>
      </c>
      <c r="K56" s="3">
        <f t="shared" si="16"/>
        <v>-161003.22055188401</v>
      </c>
      <c r="L56" s="3">
        <f t="shared" si="16"/>
        <v>-163117.84946827299</v>
      </c>
      <c r="M56" s="3">
        <f t="shared" si="16"/>
        <v>-165068.09565487143</v>
      </c>
      <c r="N56" s="3">
        <f t="shared" si="16"/>
        <v>-158218.30609751336</v>
      </c>
      <c r="O56" s="3">
        <f t="shared" si="16"/>
        <v>-151900.99157499595</v>
      </c>
      <c r="P56" s="3">
        <f t="shared" si="16"/>
        <v>-146074.7596240392</v>
      </c>
      <c r="Q56" s="3">
        <f t="shared" si="16"/>
        <v>-140701.43546464274</v>
      </c>
      <c r="R56" s="3">
        <f t="shared" si="16"/>
        <v>-135745.81187035507</v>
      </c>
      <c r="S56" s="3">
        <f t="shared" si="16"/>
        <v>-131175.41848262039</v>
      </c>
      <c r="T56" s="3">
        <f t="shared" si="16"/>
        <v>-126960.30905769815</v>
      </c>
      <c r="U56" s="3">
        <f t="shared" si="16"/>
        <v>-123072.86525214979</v>
      </c>
      <c r="V56" s="3">
        <f t="shared" si="16"/>
        <v>-119487.61566125101</v>
      </c>
      <c r="W56" s="3">
        <f t="shared" si="16"/>
        <v>-116181.06892462831</v>
      </c>
      <c r="X56" s="3">
        <f t="shared" si="16"/>
        <v>-113131.55980559115</v>
      </c>
      <c r="Y56" s="3">
        <f t="shared" si="16"/>
        <v>-110319.1072356361</v>
      </c>
    </row>
    <row r="57" spans="1:26" x14ac:dyDescent="0.25">
      <c r="A57" s="41" t="s">
        <v>174</v>
      </c>
      <c r="B57" s="41"/>
      <c r="C57" s="41"/>
      <c r="D57" s="41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9" spans="1:26" x14ac:dyDescent="0.25">
      <c r="A59" s="78" t="s">
        <v>123</v>
      </c>
      <c r="B59" s="78"/>
      <c r="C59" s="78"/>
      <c r="D59" s="78"/>
      <c r="E59" s="3">
        <f>E11</f>
        <v>89000</v>
      </c>
      <c r="F59" s="3">
        <f t="shared" ref="F59:Y59" si="17">IF(F9="",E59,-F52)</f>
        <v>167827.57002694748</v>
      </c>
      <c r="G59" s="3">
        <f t="shared" si="17"/>
        <v>189802.88078752987</v>
      </c>
      <c r="H59" s="3">
        <f t="shared" si="17"/>
        <v>210069.91945232125</v>
      </c>
      <c r="I59" s="3">
        <f t="shared" si="17"/>
        <v>228761.48020953819</v>
      </c>
      <c r="J59" s="3">
        <f t="shared" si="17"/>
        <v>246000.03436237937</v>
      </c>
      <c r="K59" s="3">
        <f t="shared" si="17"/>
        <v>261898.53278850461</v>
      </c>
      <c r="L59" s="3">
        <f t="shared" si="17"/>
        <v>276561.146019548</v>
      </c>
      <c r="M59" s="3">
        <f t="shared" si="17"/>
        <v>290083.9467898322</v>
      </c>
      <c r="N59" s="3">
        <f t="shared" si="17"/>
        <v>293907.10806139576</v>
      </c>
      <c r="O59" s="3">
        <f t="shared" si="17"/>
        <v>297433.0721834366</v>
      </c>
      <c r="P59" s="3">
        <f t="shared" si="17"/>
        <v>300684.94206462387</v>
      </c>
      <c r="Q59" s="3">
        <f t="shared" si="17"/>
        <v>303684.02468661394</v>
      </c>
      <c r="R59" s="3">
        <f t="shared" si="17"/>
        <v>306449.97071217839</v>
      </c>
      <c r="S59" s="3">
        <f t="shared" si="17"/>
        <v>309000.90324075916</v>
      </c>
      <c r="T59" s="3">
        <f t="shared" si="17"/>
        <v>311353.53655508551</v>
      </c>
      <c r="U59" s="3">
        <f t="shared" si="17"/>
        <v>313523.28563690756</v>
      </c>
      <c r="V59" s="3">
        <f t="shared" si="17"/>
        <v>315524.3671694182</v>
      </c>
      <c r="W59" s="3">
        <f t="shared" si="17"/>
        <v>317369.89268815349</v>
      </c>
      <c r="X59" s="3">
        <f t="shared" si="17"/>
        <v>319071.95449071779</v>
      </c>
      <c r="Y59" s="3">
        <f t="shared" si="17"/>
        <v>320641.70486823283</v>
      </c>
    </row>
    <row r="60" spans="1:26" x14ac:dyDescent="0.25">
      <c r="A60" s="78" t="s">
        <v>124</v>
      </c>
      <c r="B60" s="78"/>
      <c r="C60" s="78"/>
      <c r="D60" s="78"/>
      <c r="F60" s="3">
        <f t="shared" ref="F60:Y60" si="18">IF(F9="",E60,F55)</f>
        <v>20391.179269562646</v>
      </c>
      <c r="G60" s="3">
        <f t="shared" si="18"/>
        <v>39197.23044123518</v>
      </c>
      <c r="H60" s="3">
        <f t="shared" si="18"/>
        <v>56541.374985120186</v>
      </c>
      <c r="I60" s="3">
        <f t="shared" si="18"/>
        <v>72537.255630829517</v>
      </c>
      <c r="J60" s="3">
        <f t="shared" si="18"/>
        <v>87289.680980166755</v>
      </c>
      <c r="K60" s="3">
        <f t="shared" si="18"/>
        <v>100895.31223662061</v>
      </c>
      <c r="L60" s="3">
        <f t="shared" si="18"/>
        <v>113443.29655127502</v>
      </c>
      <c r="M60" s="3">
        <f t="shared" si="18"/>
        <v>125015.85113496079</v>
      </c>
      <c r="N60" s="3">
        <f t="shared" si="18"/>
        <v>135688.8019638824</v>
      </c>
      <c r="O60" s="3">
        <f t="shared" si="18"/>
        <v>145532.08060844065</v>
      </c>
      <c r="P60" s="3">
        <f t="shared" si="18"/>
        <v>154610.18244058467</v>
      </c>
      <c r="Q60" s="3">
        <f t="shared" si="18"/>
        <v>162982.5892219712</v>
      </c>
      <c r="R60" s="3">
        <f t="shared" si="18"/>
        <v>170704.15884182332</v>
      </c>
      <c r="S60" s="3">
        <f t="shared" si="18"/>
        <v>177825.48475813877</v>
      </c>
      <c r="T60" s="3">
        <f t="shared" si="18"/>
        <v>184393.22749738736</v>
      </c>
      <c r="U60" s="3">
        <f t="shared" si="18"/>
        <v>190450.42038475777</v>
      </c>
      <c r="V60" s="3">
        <f t="shared" si="18"/>
        <v>196036.75150816719</v>
      </c>
      <c r="W60" s="3">
        <f t="shared" si="18"/>
        <v>201188.82376352517</v>
      </c>
      <c r="X60" s="3">
        <f t="shared" si="18"/>
        <v>205940.39468512664</v>
      </c>
      <c r="Y60" s="3">
        <f t="shared" si="18"/>
        <v>210322.59763259673</v>
      </c>
    </row>
  </sheetData>
  <sheetProtection selectLockedCells="1"/>
  <mergeCells count="34">
    <mergeCell ref="F3:I3"/>
    <mergeCell ref="I7:J7"/>
    <mergeCell ref="N7:O7"/>
    <mergeCell ref="A56:D56"/>
    <mergeCell ref="A59:D59"/>
    <mergeCell ref="A7:D7"/>
    <mergeCell ref="A9:D9"/>
    <mergeCell ref="A11:D11"/>
    <mergeCell ref="A12:D12"/>
    <mergeCell ref="A17:D17"/>
    <mergeCell ref="A21:D21"/>
    <mergeCell ref="A26:D26"/>
    <mergeCell ref="A25:D25"/>
    <mergeCell ref="A27:D27"/>
    <mergeCell ref="A28:D28"/>
    <mergeCell ref="A13:D13"/>
    <mergeCell ref="A14:D14"/>
    <mergeCell ref="A19:D19"/>
    <mergeCell ref="A24:D24"/>
    <mergeCell ref="A22:D22"/>
    <mergeCell ref="A15:D15"/>
    <mergeCell ref="A53:D53"/>
    <mergeCell ref="A54:D54"/>
    <mergeCell ref="A60:D60"/>
    <mergeCell ref="A18:D18"/>
    <mergeCell ref="A20:D20"/>
    <mergeCell ref="A55:D55"/>
    <mergeCell ref="A31:D31"/>
    <mergeCell ref="A33:D33"/>
    <mergeCell ref="A34:D34"/>
    <mergeCell ref="A32:D32"/>
    <mergeCell ref="A50:D50"/>
    <mergeCell ref="A51:D51"/>
    <mergeCell ref="A52:D52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topLeftCell="A6" zoomScale="80" zoomScaleNormal="80" workbookViewId="0">
      <selection activeCell="M24" sqref="M24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7" t="s">
        <v>158</v>
      </c>
      <c r="G3" s="67"/>
      <c r="H3" s="67"/>
      <c r="I3" s="67"/>
    </row>
    <row r="7" spans="1:25" ht="21" x14ac:dyDescent="0.35">
      <c r="A7" s="74" t="s">
        <v>112</v>
      </c>
      <c r="B7" s="74"/>
      <c r="C7" s="74"/>
      <c r="D7" s="74"/>
      <c r="I7" s="85" t="s">
        <v>138</v>
      </c>
      <c r="J7" s="85"/>
      <c r="N7" s="86" t="s">
        <v>139</v>
      </c>
      <c r="O7" s="86"/>
    </row>
    <row r="9" spans="1:25" x14ac:dyDescent="0.25">
      <c r="A9" s="70" t="s">
        <v>66</v>
      </c>
      <c r="B9" s="70"/>
      <c r="C9" s="70"/>
      <c r="D9" s="70"/>
      <c r="E9" s="14">
        <v>0</v>
      </c>
      <c r="F9" s="14">
        <v>1</v>
      </c>
      <c r="G9" s="14">
        <f>IF(F9&lt;UnosPodataka!$M$24,'FinInd+CO2'!F9+1,"")</f>
        <v>2</v>
      </c>
      <c r="H9" s="14">
        <f>IF(G9&lt;UnosPodataka!$M$24,'FinInd+CO2'!G9+1,"")</f>
        <v>3</v>
      </c>
      <c r="I9" s="14">
        <f>IF(H9&lt;UnosPodataka!$M$24,'FinInd+CO2'!H9+1,"")</f>
        <v>4</v>
      </c>
      <c r="J9" s="14">
        <f>IF(I9&lt;UnosPodataka!$M$24,'FinInd+CO2'!I9+1,"")</f>
        <v>5</v>
      </c>
      <c r="K9" s="14">
        <f>IF(J9&lt;UnosPodataka!$M$24,'FinInd+CO2'!J9+1,"")</f>
        <v>6</v>
      </c>
      <c r="L9" s="14">
        <f>IF(K9&lt;UnosPodataka!$M$24,'FinInd+CO2'!K9+1,"")</f>
        <v>7</v>
      </c>
      <c r="M9" s="14">
        <f>IF(L9&lt;UnosPodataka!$M$24,'FinInd+CO2'!L9+1,"")</f>
        <v>8</v>
      </c>
      <c r="N9" s="14">
        <f>IF(M9&lt;UnosPodataka!$M$24,'FinInd+CO2'!M9+1,"")</f>
        <v>9</v>
      </c>
      <c r="O9" s="14">
        <f>IF(N9&lt;UnosPodataka!$M$24,'FinInd+CO2'!N9+1,"")</f>
        <v>10</v>
      </c>
      <c r="P9" s="14">
        <f>IF(O9&lt;UnosPodataka!$M$24,'FinInd+CO2'!O9+1,"")</f>
        <v>11</v>
      </c>
      <c r="Q9" s="14">
        <f>IF(P9&lt;UnosPodataka!$M$24,'FinInd+CO2'!P9+1,"")</f>
        <v>12</v>
      </c>
      <c r="R9" s="14">
        <f>IF(Q9&lt;UnosPodataka!$M$24,'FinInd+CO2'!Q9+1,"")</f>
        <v>13</v>
      </c>
      <c r="S9" s="14">
        <f>IF(R9&lt;UnosPodataka!$M$24,'FinInd+CO2'!R9+1,"")</f>
        <v>14</v>
      </c>
      <c r="T9" s="14">
        <f>IF(S9&lt;UnosPodataka!$M$24,'FinInd+CO2'!S9+1,"")</f>
        <v>15</v>
      </c>
      <c r="U9" s="14">
        <f>IF(T9&lt;UnosPodataka!$M$24,'FinInd+CO2'!T9+1,"")</f>
        <v>16</v>
      </c>
      <c r="V9" s="14">
        <f>IF(U9&lt;UnosPodataka!$M$24,'FinInd+CO2'!U9+1,"")</f>
        <v>17</v>
      </c>
      <c r="W9" s="14">
        <f>IF(V9&lt;UnosPodataka!$M$24,'FinInd+CO2'!V9+1,"")</f>
        <v>18</v>
      </c>
      <c r="X9" s="14">
        <f>IF(W9&lt;UnosPodataka!$M$24,'FinInd+CO2'!W9+1,"")</f>
        <v>19</v>
      </c>
      <c r="Y9" s="14">
        <f>IF(X9&lt;UnosPodataka!$M$24,'FinInd+CO2'!X9+1,"")</f>
        <v>20</v>
      </c>
    </row>
    <row r="11" spans="1:25" x14ac:dyDescent="0.25">
      <c r="A11" s="78" t="s">
        <v>113</v>
      </c>
      <c r="B11" s="78"/>
      <c r="C11" s="78"/>
      <c r="D11" s="78"/>
      <c r="E11" s="3">
        <f>LOAN</f>
        <v>89000</v>
      </c>
    </row>
    <row r="12" spans="1:25" x14ac:dyDescent="0.25">
      <c r="A12" s="78" t="s">
        <v>114</v>
      </c>
      <c r="B12" s="78"/>
      <c r="C12" s="78"/>
      <c r="D12" s="78"/>
      <c r="E12" s="3">
        <f>IF(Equity=0,LOAN,Equity)</f>
        <v>25000</v>
      </c>
    </row>
    <row r="13" spans="1:25" x14ac:dyDescent="0.25">
      <c r="A13" s="78" t="s">
        <v>160</v>
      </c>
      <c r="B13" s="78"/>
      <c r="C13" s="78"/>
      <c r="D13" s="78"/>
      <c r="E13" s="3">
        <f>+UnosPodataka!F21</f>
        <v>30000</v>
      </c>
    </row>
    <row r="14" spans="1:25" x14ac:dyDescent="0.25">
      <c r="A14" s="78" t="s">
        <v>125</v>
      </c>
      <c r="B14" s="78"/>
      <c r="C14" s="78"/>
      <c r="D14" s="78"/>
      <c r="F14" s="3">
        <f>IF(F9&lt;&gt;"",Ustede!$F$19,"")</f>
        <v>356.08311398399997</v>
      </c>
      <c r="G14" s="3">
        <f>IF(G9&lt;&gt;"",Ustede!$F$19,"")</f>
        <v>356.08311398399997</v>
      </c>
      <c r="H14" s="3">
        <f>IF(H9&lt;&gt;"",Ustede!$F$19,"")</f>
        <v>356.08311398399997</v>
      </c>
      <c r="I14" s="3">
        <f>IF(I9&lt;&gt;"",Ustede!$F$19,"")</f>
        <v>356.08311398399997</v>
      </c>
      <c r="J14" s="3">
        <f>IF(J9&lt;&gt;"",Ustede!$F$19,"")</f>
        <v>356.08311398399997</v>
      </c>
      <c r="K14" s="3">
        <f>IF(K9&lt;&gt;"",Ustede!$F$19,"")</f>
        <v>356.08311398399997</v>
      </c>
      <c r="L14" s="3">
        <f>IF(L9&lt;&gt;"",Ustede!$F$19,"")</f>
        <v>356.08311398399997</v>
      </c>
      <c r="M14" s="3">
        <f>IF(M9&lt;&gt;"",Ustede!$F$19,"")</f>
        <v>356.08311398399997</v>
      </c>
      <c r="N14" s="3">
        <f>IF(N9&lt;&gt;"",Ustede!$F$19,"")</f>
        <v>356.08311398399997</v>
      </c>
      <c r="O14" s="3">
        <f>IF(O9&lt;&gt;"",Ustede!$F$19,"")</f>
        <v>356.08311398399997</v>
      </c>
      <c r="P14" s="3">
        <f>IF(P9&lt;&gt;"",Ustede!$F$19,"")</f>
        <v>356.08311398399997</v>
      </c>
      <c r="Q14" s="3">
        <f>IF(Q9&lt;&gt;"",Ustede!$F$19,"")</f>
        <v>356.08311398399997</v>
      </c>
      <c r="R14" s="3">
        <f>IF(R9&lt;&gt;"",Ustede!$F$19,"")</f>
        <v>356.08311398399997</v>
      </c>
      <c r="S14" s="3">
        <f>IF(S9&lt;&gt;"",Ustede!$F$19,"")</f>
        <v>356.08311398399997</v>
      </c>
      <c r="T14" s="3">
        <f>IF(T9&lt;&gt;"",Ustede!$F$19,"")</f>
        <v>356.08311398399997</v>
      </c>
      <c r="U14" s="3">
        <f>IF(U9&lt;&gt;"",Ustede!$F$19,"")</f>
        <v>356.08311398399997</v>
      </c>
      <c r="V14" s="3">
        <f>IF(V9&lt;&gt;"",Ustede!$F$19,"")</f>
        <v>356.08311398399997</v>
      </c>
      <c r="W14" s="3">
        <f>IF(W9&lt;&gt;"",Ustede!$F$19,"")</f>
        <v>356.08311398399997</v>
      </c>
      <c r="X14" s="3">
        <f>IF(X9&lt;&gt;"",Ustede!$F$19,"")</f>
        <v>356.08311398399997</v>
      </c>
      <c r="Y14" s="3">
        <f>IF(Y9&lt;&gt;"",Ustede!$F$19,"")</f>
        <v>356.08311398399997</v>
      </c>
    </row>
    <row r="15" spans="1:25" x14ac:dyDescent="0.25">
      <c r="A15" s="78" t="s">
        <v>126</v>
      </c>
      <c r="B15" s="78"/>
      <c r="C15" s="78"/>
      <c r="D15" s="78"/>
      <c r="F15" s="3">
        <f>IF(F9&lt;&gt;"",(Ustede!$F$10-Ustede!$F$11),"")</f>
        <v>930</v>
      </c>
      <c r="G15" s="3">
        <f>IF(G9&lt;&gt;"",(Ustede!$F$10-Ustede!$F$11),"")</f>
        <v>930</v>
      </c>
      <c r="H15" s="3">
        <f>IF(H9&lt;&gt;"",(Ustede!$F$10-Ustede!$F$11),"")</f>
        <v>930</v>
      </c>
      <c r="I15" s="3">
        <f>IF(I9&lt;&gt;"",(Ustede!$F$10-Ustede!$F$11),"")</f>
        <v>930</v>
      </c>
      <c r="J15" s="3">
        <f>IF(J9&lt;&gt;"",(Ustede!$F$10-Ustede!$F$11),"")</f>
        <v>930</v>
      </c>
      <c r="K15" s="3">
        <f>IF(K9&lt;&gt;"",(Ustede!$F$10-Ustede!$F$11),"")</f>
        <v>930</v>
      </c>
      <c r="L15" s="3">
        <f>IF(L9&lt;&gt;"",(Ustede!$F$10-Ustede!$F$11),"")</f>
        <v>930</v>
      </c>
      <c r="M15" s="3">
        <f>IF(M9&lt;&gt;"",(Ustede!$F$10-Ustede!$F$11),"")</f>
        <v>930</v>
      </c>
      <c r="N15" s="3">
        <f>IF(N9&lt;&gt;"",(Ustede!$F$10-Ustede!$F$11),"")</f>
        <v>930</v>
      </c>
      <c r="O15" s="3">
        <f>IF(O9&lt;&gt;"",(Ustede!$F$10-Ustede!$F$11),"")</f>
        <v>930</v>
      </c>
      <c r="P15" s="3">
        <f>IF(P9&lt;&gt;"",(Ustede!$F$10-Ustede!$F$11),"")</f>
        <v>930</v>
      </c>
      <c r="Q15" s="3">
        <f>IF(Q9&lt;&gt;"",(Ustede!$F$10-Ustede!$F$11),"")</f>
        <v>930</v>
      </c>
      <c r="R15" s="3">
        <f>IF(R9&lt;&gt;"",(Ustede!$F$10-Ustede!$F$11),"")</f>
        <v>930</v>
      </c>
      <c r="S15" s="3">
        <f>IF(S9&lt;&gt;"",(Ustede!$F$10-Ustede!$F$11),"")</f>
        <v>930</v>
      </c>
      <c r="T15" s="3">
        <f>IF(T9&lt;&gt;"",(Ustede!$F$10-Ustede!$F$11),"")</f>
        <v>930</v>
      </c>
      <c r="U15" s="3">
        <f>IF(U9&lt;&gt;"",(Ustede!$F$10-Ustede!$F$11),"")</f>
        <v>930</v>
      </c>
      <c r="V15" s="3">
        <f>IF(V9&lt;&gt;"",(Ustede!$F$10-Ustede!$F$11),"")</f>
        <v>930</v>
      </c>
      <c r="W15" s="3">
        <f>IF(W9&lt;&gt;"",(Ustede!$F$10-Ustede!$F$11),"")</f>
        <v>930</v>
      </c>
      <c r="X15" s="3">
        <f>IF(X9&lt;&gt;"",(Ustede!$F$10-Ustede!$F$11),"")</f>
        <v>930</v>
      </c>
      <c r="Y15" s="3">
        <f>IF(Y9&lt;&gt;"",(Ustede!$F$10-Ustede!$F$11),"")</f>
        <v>930</v>
      </c>
    </row>
    <row r="16" spans="1:25" x14ac:dyDescent="0.25">
      <c r="A16" s="23"/>
      <c r="B16" s="23"/>
      <c r="C16" s="23"/>
      <c r="D16" s="2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70" t="s">
        <v>161</v>
      </c>
      <c r="B17" s="70"/>
      <c r="C17" s="70"/>
      <c r="D17" s="7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78" t="s">
        <v>115</v>
      </c>
      <c r="B18" s="78"/>
      <c r="C18" s="78"/>
      <c r="D18" s="78"/>
      <c r="F18" s="3">
        <f>IF(F9&lt;&gt;"",Ustede!$F$20,"")</f>
        <v>22109.914952787065</v>
      </c>
      <c r="G18" s="3">
        <f>IF(G9&lt;&gt;"",Ustede!$F$20,"")</f>
        <v>22109.914952787065</v>
      </c>
      <c r="H18" s="3">
        <f>IF(H9&lt;&gt;"",Ustede!$F$20,"")</f>
        <v>22109.914952787065</v>
      </c>
      <c r="I18" s="3">
        <f>IF(I9&lt;&gt;"",Ustede!$F$20,"")</f>
        <v>22109.914952787065</v>
      </c>
      <c r="J18" s="3">
        <f>IF(J9&lt;&gt;"",Ustede!$F$20,"")</f>
        <v>22109.914952787065</v>
      </c>
      <c r="K18" s="3">
        <f>IF(K9&lt;&gt;"",Ustede!$F$20,"")</f>
        <v>22109.914952787065</v>
      </c>
      <c r="L18" s="3">
        <f>IF(L9&lt;&gt;"",Ustede!$F$20,"")</f>
        <v>22109.914952787065</v>
      </c>
      <c r="M18" s="3">
        <f>IF(M9&lt;&gt;"",Ustede!$F$20,"")</f>
        <v>22109.914952787065</v>
      </c>
      <c r="N18" s="3">
        <f>IF(N9&lt;&gt;"",Ustede!$F$20,"")</f>
        <v>22109.914952787065</v>
      </c>
      <c r="O18" s="3">
        <f>IF(O9&lt;&gt;"",Ustede!$F$20,"")</f>
        <v>22109.914952787065</v>
      </c>
      <c r="P18" s="3">
        <f>IF(P9&lt;&gt;"",Ustede!$F$20,"")</f>
        <v>22109.914952787065</v>
      </c>
      <c r="Q18" s="3">
        <f>IF(Q9&lt;&gt;"",Ustede!$F$20,"")</f>
        <v>22109.914952787065</v>
      </c>
      <c r="R18" s="3">
        <f>IF(R9&lt;&gt;"",Ustede!$F$20,"")</f>
        <v>22109.914952787065</v>
      </c>
      <c r="S18" s="3">
        <f>IF(S9&lt;&gt;"",Ustede!$F$20,"")</f>
        <v>22109.914952787065</v>
      </c>
      <c r="T18" s="3">
        <f>IF(T9&lt;&gt;"",Ustede!$F$20,"")</f>
        <v>22109.914952787065</v>
      </c>
      <c r="U18" s="3">
        <f>IF(U9&lt;&gt;"",Ustede!$F$20,"")</f>
        <v>22109.914952787065</v>
      </c>
      <c r="V18" s="3">
        <f>IF(V9&lt;&gt;"",Ustede!$F$20,"")</f>
        <v>22109.914952787065</v>
      </c>
      <c r="W18" s="3">
        <f>IF(W9&lt;&gt;"",Ustede!$F$20,"")</f>
        <v>22109.914952787065</v>
      </c>
      <c r="X18" s="3">
        <f>IF(X9&lt;&gt;"",Ustede!$F$20,"")</f>
        <v>22109.914952787065</v>
      </c>
      <c r="Y18" s="3">
        <f>IF(Y9&lt;&gt;"",Ustede!$F$20,"")</f>
        <v>22109.914952787065</v>
      </c>
    </row>
    <row r="19" spans="1:25" ht="18" x14ac:dyDescent="0.35">
      <c r="A19" s="78" t="s">
        <v>127</v>
      </c>
      <c r="B19" s="78"/>
      <c r="C19" s="78"/>
      <c r="D19" s="78"/>
      <c r="F19" s="3">
        <f>IF(F9&lt;&gt;"",F14*UnosPodataka!$M$23*CARBON,"")</f>
        <v>11449.923746778317</v>
      </c>
      <c r="G19" s="3">
        <f>IF(G9&lt;&gt;"",G14*UnosPodataka!$M$23*CARBON,"")</f>
        <v>11449.923746778317</v>
      </c>
      <c r="H19" s="3">
        <f>IF(H9&lt;&gt;"",H14*UnosPodataka!$M$23*CARBON,"")</f>
        <v>11449.923746778317</v>
      </c>
      <c r="I19" s="3">
        <f>IF(I9&lt;&gt;"",I14*UnosPodataka!$M$23*CARBON,"")</f>
        <v>11449.923746778317</v>
      </c>
      <c r="J19" s="3">
        <f>IF(J9&lt;&gt;"",J14*UnosPodataka!$M$23*CARBON,"")</f>
        <v>11449.923746778317</v>
      </c>
      <c r="K19" s="3">
        <f>IF(K9&lt;&gt;"",K14*UnosPodataka!$M$23*CARBON,"")</f>
        <v>11449.923746778317</v>
      </c>
      <c r="L19" s="3">
        <f>IF(L9&lt;&gt;"",L14*UnosPodataka!$M$23*CARBON,"")</f>
        <v>11449.923746778317</v>
      </c>
      <c r="M19" s="3">
        <f>IF(M9&lt;&gt;"",M14*UnosPodataka!$M$23*CARBON,"")</f>
        <v>11449.923746778317</v>
      </c>
      <c r="N19" s="3">
        <f>IF(N9&lt;&gt;"",N14*UnosPodataka!$M$23*CARBON,"")</f>
        <v>11449.923746778317</v>
      </c>
      <c r="O19" s="3">
        <f>IF(O9&lt;&gt;"",O14*UnosPodataka!$M$23*CARBON,"")</f>
        <v>11449.923746778317</v>
      </c>
      <c r="P19" s="3">
        <f>IF(P9&lt;&gt;"",P14*UnosPodataka!$M$23*CARBON,"")</f>
        <v>11449.923746778317</v>
      </c>
      <c r="Q19" s="3">
        <f>IF(Q9&lt;&gt;"",Q14*UnosPodataka!$M$23*CARBON,"")</f>
        <v>11449.923746778317</v>
      </c>
      <c r="R19" s="3">
        <f>IF(R9&lt;&gt;"",R14*UnosPodataka!$M$23*CARBON,"")</f>
        <v>11449.923746778317</v>
      </c>
      <c r="S19" s="3">
        <f>IF(S9&lt;&gt;"",S14*UnosPodataka!$M$23*CARBON,"")</f>
        <v>11449.923746778317</v>
      </c>
      <c r="T19" s="3">
        <f>IF(T9&lt;&gt;"",T14*UnosPodataka!$M$23*CARBON,"")</f>
        <v>11449.923746778317</v>
      </c>
      <c r="U19" s="3">
        <f>IF(U9&lt;&gt;"",U14*UnosPodataka!$M$23*CARBON,"")</f>
        <v>11449.923746778317</v>
      </c>
      <c r="V19" s="3">
        <f>IF(V9&lt;&gt;"",V14*UnosPodataka!$M$23*CARBON,"")</f>
        <v>11449.923746778317</v>
      </c>
      <c r="W19" s="3">
        <f>IF(W9&lt;&gt;"",W14*UnosPodataka!$M$23*CARBON,"")</f>
        <v>11449.923746778317</v>
      </c>
      <c r="X19" s="3">
        <f>IF(X9&lt;&gt;"",X14*UnosPodataka!$M$23*CARBON,"")</f>
        <v>11449.923746778317</v>
      </c>
      <c r="Y19" s="3">
        <f>IF(Y9&lt;&gt;"",Y14*UnosPodataka!$M$23*CARBON,"")</f>
        <v>11449.923746778317</v>
      </c>
    </row>
    <row r="20" spans="1:25" x14ac:dyDescent="0.25">
      <c r="A20" s="84" t="s">
        <v>116</v>
      </c>
      <c r="B20" s="84"/>
      <c r="C20" s="84"/>
      <c r="D20" s="84"/>
      <c r="E20" s="38"/>
      <c r="F20" s="39">
        <f>IF(F9&lt;&gt;"",F18+F19,"")</f>
        <v>33559.838699565385</v>
      </c>
      <c r="G20" s="39">
        <f t="shared" ref="G20:Y20" si="0">IF(G9&lt;&gt;"",G18+G19,"")</f>
        <v>33559.838699565385</v>
      </c>
      <c r="H20" s="39">
        <f t="shared" si="0"/>
        <v>33559.838699565385</v>
      </c>
      <c r="I20" s="39">
        <f t="shared" si="0"/>
        <v>33559.838699565385</v>
      </c>
      <c r="J20" s="39">
        <f t="shared" si="0"/>
        <v>33559.838699565385</v>
      </c>
      <c r="K20" s="39">
        <f t="shared" si="0"/>
        <v>33559.838699565385</v>
      </c>
      <c r="L20" s="39">
        <f t="shared" si="0"/>
        <v>33559.838699565385</v>
      </c>
      <c r="M20" s="39">
        <f t="shared" si="0"/>
        <v>33559.838699565385</v>
      </c>
      <c r="N20" s="39">
        <f t="shared" si="0"/>
        <v>33559.838699565385</v>
      </c>
      <c r="O20" s="39">
        <f t="shared" si="0"/>
        <v>33559.838699565385</v>
      </c>
      <c r="P20" s="39">
        <f t="shared" si="0"/>
        <v>33559.838699565385</v>
      </c>
      <c r="Q20" s="39">
        <f t="shared" si="0"/>
        <v>33559.838699565385</v>
      </c>
      <c r="R20" s="39">
        <f t="shared" si="0"/>
        <v>33559.838699565385</v>
      </c>
      <c r="S20" s="39">
        <f t="shared" si="0"/>
        <v>33559.838699565385</v>
      </c>
      <c r="T20" s="39">
        <f t="shared" si="0"/>
        <v>33559.838699565385</v>
      </c>
      <c r="U20" s="39">
        <f t="shared" si="0"/>
        <v>33559.838699565385</v>
      </c>
      <c r="V20" s="39">
        <f t="shared" si="0"/>
        <v>33559.838699565385</v>
      </c>
      <c r="W20" s="39">
        <f t="shared" si="0"/>
        <v>33559.838699565385</v>
      </c>
      <c r="X20" s="39">
        <f t="shared" si="0"/>
        <v>33559.838699565385</v>
      </c>
      <c r="Y20" s="39">
        <f t="shared" si="0"/>
        <v>33559.838699565385</v>
      </c>
    </row>
    <row r="21" spans="1:25" x14ac:dyDescent="0.25">
      <c r="A21" s="79"/>
      <c r="B21" s="79"/>
      <c r="C21" s="79"/>
      <c r="D21" s="79"/>
    </row>
    <row r="22" spans="1:25" x14ac:dyDescent="0.25">
      <c r="A22" s="70" t="s">
        <v>162</v>
      </c>
      <c r="B22" s="70"/>
      <c r="C22" s="70"/>
      <c r="D22" s="70"/>
    </row>
    <row r="23" spans="1:25" x14ac:dyDescent="0.25">
      <c r="A23" s="78" t="s">
        <v>117</v>
      </c>
      <c r="B23" s="78"/>
      <c r="C23" s="78"/>
      <c r="D23" s="78"/>
      <c r="F23" s="3">
        <f>IF(F9&gt;UnosPodataka!$M$21,"",-VLOOKUP(F9,Anuiteti!$B$13:$E$32,3,FALSE))</f>
        <v>-10680</v>
      </c>
      <c r="G23" s="3">
        <f>IF(G9&gt;UnosPodataka!$M$21,"",-VLOOKUP(G9,Anuiteti!$B$13:$E$32,3,FALSE))</f>
        <v>-9811.6856540979097</v>
      </c>
      <c r="H23" s="3">
        <f>IF(H9&gt;UnosPodataka!$M$21,"",-VLOOKUP(H9,Anuiteti!$B$13:$E$32,3,FALSE))</f>
        <v>-8839.1735866875679</v>
      </c>
      <c r="I23" s="3">
        <f>IF(I9&gt;UnosPodataka!$M$21,"",-VLOOKUP(I9,Anuiteti!$B$13:$E$32,3,FALSE))</f>
        <v>-7749.9600711879857</v>
      </c>
      <c r="J23" s="3">
        <f>IF(J9&gt;UnosPodataka!$M$21,"",-VLOOKUP(J9,Anuiteti!$B$13:$E$32,3,FALSE))</f>
        <v>-6530.0409338284535</v>
      </c>
      <c r="K23" s="3">
        <f>IF(K9&gt;UnosPodataka!$M$21,"",-VLOOKUP(K9,Anuiteti!$B$13:$E$32,3,FALSE))</f>
        <v>-5163.7314999857772</v>
      </c>
      <c r="L23" s="3">
        <f>IF(L9&gt;UnosPodataka!$M$21,"",-VLOOKUP(L9,Anuiteti!$B$13:$E$32,3,FALSE))</f>
        <v>-3633.4649340819801</v>
      </c>
      <c r="M23" s="3">
        <f>IF(M9&gt;UnosPodataka!$M$21,"",-VLOOKUP(M9,Anuiteti!$B$13:$E$32,3,FALSE))</f>
        <v>-1919.5663802697266</v>
      </c>
      <c r="N23" s="3" t="str">
        <f>IF(N9&gt;UnosPodataka!$M$21,"",-VLOOKUP(N9,Anuiteti!$B$13:$E$32,3,FALSE))</f>
        <v/>
      </c>
      <c r="O23" s="3" t="str">
        <f>IF(O9&gt;UnosPodataka!$M$21,"",-VLOOKUP(O9,Anuiteti!$B$13:$E$32,3,FALSE))</f>
        <v/>
      </c>
      <c r="P23" s="3" t="str">
        <f>IF(P9&gt;UnosPodataka!$M$21,"",-VLOOKUP(P9,Anuiteti!$B$13:$E$32,3,FALSE))</f>
        <v/>
      </c>
      <c r="Q23" s="3" t="str">
        <f>IF(Q9&gt;UnosPodataka!$M$21,"",-VLOOKUP(Q9,Anuiteti!$B$13:$E$32,3,FALSE))</f>
        <v/>
      </c>
      <c r="R23" s="3" t="str">
        <f>IF(R9&gt;UnosPodataka!$M$21,"",-VLOOKUP(R9,Anuiteti!$B$13:$E$32,3,FALSE))</f>
        <v/>
      </c>
      <c r="S23" s="3" t="str">
        <f>IF(S9&gt;UnosPodataka!$M$21,"",-VLOOKUP(S9,Anuiteti!$B$13:$E$32,3,FALSE))</f>
        <v/>
      </c>
      <c r="T23" s="3" t="str">
        <f>IF(T9&gt;UnosPodataka!$M$21,"",-VLOOKUP(T9,Anuiteti!$B$13:$E$32,3,FALSE))</f>
        <v/>
      </c>
      <c r="U23" s="3" t="str">
        <f>IF(U9&gt;UnosPodataka!$M$21,"",-VLOOKUP(U9,Anuiteti!$B$13:$E$32,3,FALSE))</f>
        <v/>
      </c>
      <c r="V23" s="3" t="str">
        <f>IF(V9&gt;UnosPodataka!$M$21,"",-VLOOKUP(V9,Anuiteti!$B$13:$E$32,3,FALSE))</f>
        <v/>
      </c>
      <c r="W23" s="3" t="str">
        <f>IF(W9&gt;UnosPodataka!$M$21,"",-VLOOKUP(W9,Anuiteti!$B$13:$E$32,3,FALSE))</f>
        <v/>
      </c>
      <c r="X23" s="3" t="str">
        <f>IF(X9&gt;UnosPodataka!$M$21,"",-VLOOKUP(X9,Anuiteti!$B$13:$E$32,3,FALSE))</f>
        <v/>
      </c>
      <c r="Y23" s="3" t="str">
        <f>IF(Y9&gt;UnosPodataka!$M$21,"",-VLOOKUP(Y9,Anuiteti!$B$13:$E$32,3,FALSE))</f>
        <v/>
      </c>
    </row>
    <row r="24" spans="1:25" x14ac:dyDescent="0.25">
      <c r="A24" s="23" t="s">
        <v>163</v>
      </c>
      <c r="B24" s="23"/>
      <c r="C24" s="23"/>
      <c r="D24" s="23"/>
      <c r="F24" s="3">
        <f>IF(F23="",0,IF(F9&gt;UnosPodataka!$M$24,"",VLOOKUP(F9,Anuiteti!$B$13:$E$32,4,FALSE)+VLOOKUP(F9,Anuiteti!$B$13:$E$32,3,FALSE)))</f>
        <v>-7235.9528825174239</v>
      </c>
      <c r="G24" s="3">
        <f>IF(G23="",0,IF(G9&gt;UnosPodataka!$M$24,"",VLOOKUP(G9,Anuiteti!$B$13:$E$32,4,FALSE)+VLOOKUP(G9,Anuiteti!$B$13:$E$32,3,FALSE)))</f>
        <v>-8104.2672284195141</v>
      </c>
      <c r="H24" s="3">
        <f>IF(H23="",0,IF(H9&gt;UnosPodataka!$M$24,"",VLOOKUP(H9,Anuiteti!$B$13:$E$32,4,FALSE)+VLOOKUP(H9,Anuiteti!$B$13:$E$32,3,FALSE)))</f>
        <v>-9076.779295829856</v>
      </c>
      <c r="I24" s="3">
        <f>IF(I23="",0,IF(I9&gt;UnosPodataka!$M$24,"",VLOOKUP(I9,Anuiteti!$B$13:$E$32,4,FALSE)+VLOOKUP(I9,Anuiteti!$B$13:$E$32,3,FALSE)))</f>
        <v>-10165.992811329437</v>
      </c>
      <c r="J24" s="3">
        <f>IF(J23="",0,IF(J9&gt;UnosPodataka!$M$24,"",VLOOKUP(J9,Anuiteti!$B$13:$E$32,4,FALSE)+VLOOKUP(J9,Anuiteti!$B$13:$E$32,3,FALSE)))</f>
        <v>-11385.91194868897</v>
      </c>
      <c r="K24" s="3">
        <f>IF(K23="",0,IF(K9&gt;UnosPodataka!$M$24,"",VLOOKUP(K9,Anuiteti!$B$13:$E$32,4,FALSE)+VLOOKUP(K9,Anuiteti!$B$13:$E$32,3,FALSE)))</f>
        <v>-12752.221382531647</v>
      </c>
      <c r="L24" s="3">
        <f>IF(L23="",0,IF(L9&gt;UnosPodataka!$M$24,"",VLOOKUP(L9,Anuiteti!$B$13:$E$32,4,FALSE)+VLOOKUP(L9,Anuiteti!$B$13:$E$32,3,FALSE)))</f>
        <v>-14282.487948435444</v>
      </c>
      <c r="M24" s="3">
        <f>IF(M23="",0,IF(M9&gt;UnosPodataka!$M$24,"",VLOOKUP(M9,Anuiteti!$B$13:$E$32,4,FALSE)+VLOOKUP(M9,Anuiteti!$B$13:$E$32,3,FALSE)))</f>
        <v>-15996.386502247697</v>
      </c>
      <c r="N24" s="3">
        <f>IF(N23="",0,IF(N9&gt;UnosPodataka!$M$24,"",VLOOKUP(N9,Anuiteti!$B$13:$E$32,4,FALSE)+VLOOKUP(N9,Anuiteti!$B$13:$E$32,3,FALSE)))</f>
        <v>0</v>
      </c>
      <c r="O24" s="3">
        <f>IF(O23="",0,IF(O9&gt;UnosPodataka!$M$24,"",VLOOKUP(O9,Anuiteti!$B$13:$E$32,4,FALSE)+VLOOKUP(O9,Anuiteti!$B$13:$E$32,3,FALSE)))</f>
        <v>0</v>
      </c>
      <c r="P24" s="3">
        <f>IF(P23="",0,IF(P9&gt;UnosPodataka!$M$24,"",VLOOKUP(P9,Anuiteti!$B$13:$E$32,4,FALSE)+VLOOKUP(P9,Anuiteti!$B$13:$E$32,3,FALSE)))</f>
        <v>0</v>
      </c>
      <c r="Q24" s="3">
        <f>IF(Q23="",0,IF(Q9&gt;UnosPodataka!$M$24,"",VLOOKUP(Q9,Anuiteti!$B$13:$E$32,4,FALSE)+VLOOKUP(Q9,Anuiteti!$B$13:$E$32,3,FALSE)))</f>
        <v>0</v>
      </c>
      <c r="R24" s="3">
        <f>IF(R23="",0,IF(R9&gt;UnosPodataka!$M$24,"",VLOOKUP(R9,Anuiteti!$B$13:$E$32,4,FALSE)+VLOOKUP(R9,Anuiteti!$B$13:$E$32,3,FALSE)))</f>
        <v>0</v>
      </c>
      <c r="S24" s="3">
        <f>IF(S23="",0,IF(S9&gt;UnosPodataka!$M$24,"",VLOOKUP(S9,Anuiteti!$B$13:$E$32,4,FALSE)+VLOOKUP(S9,Anuiteti!$B$13:$E$32,3,FALSE)))</f>
        <v>0</v>
      </c>
      <c r="T24" s="3">
        <f>IF(T23="",0,IF(T9&gt;UnosPodataka!$M$24,"",VLOOKUP(T9,Anuiteti!$B$13:$E$32,4,FALSE)+VLOOKUP(T9,Anuiteti!$B$13:$E$32,3,FALSE)))</f>
        <v>0</v>
      </c>
      <c r="U24" s="3">
        <f>IF(U23="",0,IF(U9&gt;UnosPodataka!$M$24,"",VLOOKUP(U9,Anuiteti!$B$13:$E$32,4,FALSE)+VLOOKUP(U9,Anuiteti!$B$13:$E$32,3,FALSE)))</f>
        <v>0</v>
      </c>
      <c r="V24" s="3">
        <f>IF(V23="",0,IF(V9&gt;UnosPodataka!$M$24,"",VLOOKUP(V9,Anuiteti!$B$13:$E$32,4,FALSE)+VLOOKUP(V9,Anuiteti!$B$13:$E$32,3,FALSE)))</f>
        <v>0</v>
      </c>
      <c r="W24" s="3">
        <f>IF(W23="",0,IF(W9&gt;UnosPodataka!$M$24,"",VLOOKUP(W9,Anuiteti!$B$13:$E$32,4,FALSE)+VLOOKUP(W9,Anuiteti!$B$13:$E$32,3,FALSE)))</f>
        <v>0</v>
      </c>
      <c r="X24" s="3">
        <f>IF(X23="",0,IF(X9&gt;UnosPodataka!$M$24,"",VLOOKUP(X9,Anuiteti!$B$13:$E$32,4,FALSE)+VLOOKUP(X9,Anuiteti!$B$13:$E$32,3,FALSE)))</f>
        <v>0</v>
      </c>
      <c r="Y24" s="3">
        <f>IF(Y23="",0,IF(Y9&gt;UnosPodataka!$M$24,"",VLOOKUP(Y9,Anuiteti!$B$13:$E$32,4,FALSE)+VLOOKUP(Y9,Anuiteti!$B$13:$E$32,3,FALSE)))</f>
        <v>0</v>
      </c>
    </row>
    <row r="25" spans="1:25" x14ac:dyDescent="0.25">
      <c r="A25" s="78" t="s">
        <v>118</v>
      </c>
      <c r="B25" s="78"/>
      <c r="C25" s="78"/>
      <c r="D25" s="78"/>
      <c r="F25" s="3">
        <f>IF(F9&lt;&gt;"",-UnosPodataka!$M$9,"")</f>
        <v>0</v>
      </c>
      <c r="G25" s="3">
        <f>IF(G9&lt;&gt;"",-UnosPodataka!$M$9,"")</f>
        <v>0</v>
      </c>
      <c r="H25" s="3">
        <f>IF(H9&lt;&gt;"",-UnosPodataka!$M$9,"")</f>
        <v>0</v>
      </c>
      <c r="I25" s="3">
        <f>IF(I9&lt;&gt;"",-UnosPodataka!$M$9,"")</f>
        <v>0</v>
      </c>
      <c r="J25" s="3">
        <f>IF(J9&lt;&gt;"",-UnosPodataka!$M$9,"")</f>
        <v>0</v>
      </c>
      <c r="K25" s="3">
        <f>IF(K9&lt;&gt;"",-UnosPodataka!$M$9,"")</f>
        <v>0</v>
      </c>
      <c r="L25" s="3">
        <f>IF(L9&lt;&gt;"",-UnosPodataka!$M$9,"")</f>
        <v>0</v>
      </c>
      <c r="M25" s="3">
        <f>IF(M9&lt;&gt;"",-UnosPodataka!$M$9,"")</f>
        <v>0</v>
      </c>
      <c r="N25" s="3">
        <f>IF(N9&lt;&gt;"",-UnosPodataka!$M$9,"")</f>
        <v>0</v>
      </c>
      <c r="O25" s="3">
        <f>IF(O9&lt;&gt;"",-UnosPodataka!$M$9,"")</f>
        <v>0</v>
      </c>
      <c r="P25" s="3">
        <f>IF(P9&lt;&gt;"",-UnosPodataka!$M$9,"")</f>
        <v>0</v>
      </c>
      <c r="Q25" s="3">
        <f>IF(Q9&lt;&gt;"",-UnosPodataka!$M$9,"")</f>
        <v>0</v>
      </c>
      <c r="R25" s="3">
        <f>IF(R9&lt;&gt;"",-UnosPodataka!$M$9,"")</f>
        <v>0</v>
      </c>
      <c r="S25" s="3">
        <f>IF(S9&lt;&gt;"",-UnosPodataka!$M$9,"")</f>
        <v>0</v>
      </c>
      <c r="T25" s="3">
        <f>IF(T9&lt;&gt;"",-UnosPodataka!$M$9,"")</f>
        <v>0</v>
      </c>
      <c r="U25" s="3">
        <f>IF(U9&lt;&gt;"",-UnosPodataka!$M$9,"")</f>
        <v>0</v>
      </c>
      <c r="V25" s="3">
        <f>IF(V9&lt;&gt;"",-UnosPodataka!$M$9,"")</f>
        <v>0</v>
      </c>
      <c r="W25" s="3">
        <f>IF(W9&lt;&gt;"",-UnosPodataka!$M$9,"")</f>
        <v>0</v>
      </c>
      <c r="X25" s="3">
        <f>IF(X9&lt;&gt;"",-UnosPodataka!$M$9,"")</f>
        <v>0</v>
      </c>
      <c r="Y25" s="3">
        <f>IF(Y9&lt;&gt;"",-UnosPodataka!$M$9,"")</f>
        <v>0</v>
      </c>
    </row>
    <row r="26" spans="1:25" x14ac:dyDescent="0.25">
      <c r="A26" s="78" t="s">
        <v>119</v>
      </c>
      <c r="B26" s="78"/>
      <c r="C26" s="78"/>
      <c r="D26" s="78"/>
      <c r="F26" s="3">
        <f>IF(F9&lt;&gt;"",-Investment*UnosPodataka!$M$11,"")</f>
        <v>-4320</v>
      </c>
      <c r="G26" s="3">
        <f>IF(G9&lt;&gt;"",-Investment*UnosPodataka!$M$11,"")</f>
        <v>-4320</v>
      </c>
      <c r="H26" s="3">
        <f>IF(H9&lt;&gt;"",-Investment*UnosPodataka!$M$11,"")</f>
        <v>-4320</v>
      </c>
      <c r="I26" s="3">
        <f>IF(I9&lt;&gt;"",-Investment*UnosPodataka!$M$11,"")</f>
        <v>-4320</v>
      </c>
      <c r="J26" s="3">
        <f>IF(J9&lt;&gt;"",-Investment*UnosPodataka!$M$11,"")</f>
        <v>-4320</v>
      </c>
      <c r="K26" s="3">
        <f>IF(K9&lt;&gt;"",-Investment*UnosPodataka!$M$11,"")</f>
        <v>-4320</v>
      </c>
      <c r="L26" s="3">
        <f>IF(L9&lt;&gt;"",-Investment*UnosPodataka!$M$11,"")</f>
        <v>-4320</v>
      </c>
      <c r="M26" s="3">
        <f>IF(M9&lt;&gt;"",-Investment*UnosPodataka!$M$11,"")</f>
        <v>-4320</v>
      </c>
      <c r="N26" s="3">
        <f>IF(N9&lt;&gt;"",-Investment*UnosPodataka!$M$11,"")</f>
        <v>-4320</v>
      </c>
      <c r="O26" s="3">
        <f>IF(O9&lt;&gt;"",-Investment*UnosPodataka!$M$11,"")</f>
        <v>-4320</v>
      </c>
      <c r="P26" s="3">
        <f>IF(P9&lt;&gt;"",-Investment*UnosPodataka!$M$11,"")</f>
        <v>-4320</v>
      </c>
      <c r="Q26" s="3">
        <f>IF(Q9&lt;&gt;"",-Investment*UnosPodataka!$M$11,"")</f>
        <v>-4320</v>
      </c>
      <c r="R26" s="3">
        <f>IF(R9&lt;&gt;"",-Investment*UnosPodataka!$M$11,"")</f>
        <v>-4320</v>
      </c>
      <c r="S26" s="3">
        <f>IF(S9&lt;&gt;"",-Investment*UnosPodataka!$M$11,"")</f>
        <v>-4320</v>
      </c>
      <c r="T26" s="3">
        <f>IF(T9&lt;&gt;"",-Investment*UnosPodataka!$M$11,"")</f>
        <v>-4320</v>
      </c>
      <c r="U26" s="3">
        <f>IF(U9&lt;&gt;"",-Investment*UnosPodataka!$M$11,"")</f>
        <v>-4320</v>
      </c>
      <c r="V26" s="3">
        <f>IF(V9&lt;&gt;"",-Investment*UnosPodataka!$M$11,"")</f>
        <v>-4320</v>
      </c>
      <c r="W26" s="3">
        <f>IF(W9&lt;&gt;"",-Investment*UnosPodataka!$M$11,"")</f>
        <v>-4320</v>
      </c>
      <c r="X26" s="3">
        <f>IF(X9&lt;&gt;"",-Investment*UnosPodataka!$M$11,"")</f>
        <v>-4320</v>
      </c>
      <c r="Y26" s="3">
        <f>IF(Y9&lt;&gt;"",-Investment*UnosPodataka!$M$11,"")</f>
        <v>-4320</v>
      </c>
    </row>
    <row r="27" spans="1:25" x14ac:dyDescent="0.25">
      <c r="A27" s="78" t="s">
        <v>164</v>
      </c>
      <c r="B27" s="78"/>
      <c r="C27" s="78"/>
      <c r="D27" s="78"/>
      <c r="F27" s="3">
        <f>IF(F9&lt;&gt;"",-Investment*UnosPodataka!$M$12,"")</f>
        <v>-3600</v>
      </c>
      <c r="G27" s="3">
        <f>IF(G9&lt;&gt;"",-Investment*UnosPodataka!$M$12,"")</f>
        <v>-3600</v>
      </c>
      <c r="H27" s="3">
        <f>IF(H9&lt;&gt;"",-Investment*UnosPodataka!$M$12,"")</f>
        <v>-3600</v>
      </c>
      <c r="I27" s="3">
        <f>IF(I9&lt;&gt;"",-Investment*UnosPodataka!$M$12,"")</f>
        <v>-3600</v>
      </c>
      <c r="J27" s="3">
        <f>IF(J9&lt;&gt;"",-Investment*UnosPodataka!$M$12,"")</f>
        <v>-3600</v>
      </c>
      <c r="K27" s="3">
        <f>IF(K9&lt;&gt;"",-Investment*UnosPodataka!$M$12,"")</f>
        <v>-3600</v>
      </c>
      <c r="L27" s="3">
        <f>IF(L9&lt;&gt;"",-Investment*UnosPodataka!$M$12,"")</f>
        <v>-3600</v>
      </c>
      <c r="M27" s="3">
        <f>IF(M9&lt;&gt;"",-Investment*UnosPodataka!$M$12,"")</f>
        <v>-3600</v>
      </c>
      <c r="N27" s="3">
        <f>IF(N9&lt;&gt;"",-Investment*UnosPodataka!$M$12,"")</f>
        <v>-3600</v>
      </c>
      <c r="O27" s="3">
        <f>IF(O9&lt;&gt;"",-Investment*UnosPodataka!$M$12,"")</f>
        <v>-3600</v>
      </c>
      <c r="P27" s="3">
        <f>IF(P9&lt;&gt;"",-Investment*UnosPodataka!$M$12,"")</f>
        <v>-3600</v>
      </c>
      <c r="Q27" s="3">
        <f>IF(Q9&lt;&gt;"",-Investment*UnosPodataka!$M$12,"")</f>
        <v>-3600</v>
      </c>
      <c r="R27" s="3">
        <f>IF(R9&lt;&gt;"",-Investment*UnosPodataka!$M$12,"")</f>
        <v>-3600</v>
      </c>
      <c r="S27" s="3">
        <f>IF(S9&lt;&gt;"",-Investment*UnosPodataka!$M$12,"")</f>
        <v>-3600</v>
      </c>
      <c r="T27" s="3">
        <f>IF(T9&lt;&gt;"",-Investment*UnosPodataka!$M$12,"")</f>
        <v>-3600</v>
      </c>
      <c r="U27" s="3">
        <f>IF(U9&lt;&gt;"",-Investment*UnosPodataka!$M$12,"")</f>
        <v>-3600</v>
      </c>
      <c r="V27" s="3">
        <f>IF(V9&lt;&gt;"",-Investment*UnosPodataka!$M$12,"")</f>
        <v>-3600</v>
      </c>
      <c r="W27" s="3">
        <f>IF(W9&lt;&gt;"",-Investment*UnosPodataka!$M$12,"")</f>
        <v>-3600</v>
      </c>
      <c r="X27" s="3">
        <f>IF(X9&lt;&gt;"",-Investment*UnosPodataka!$M$12,"")</f>
        <v>-3600</v>
      </c>
      <c r="Y27" s="3">
        <f>IF(Y9&lt;&gt;"",-Investment*UnosPodataka!$M$12,"")</f>
        <v>-3600</v>
      </c>
    </row>
    <row r="28" spans="1:25" x14ac:dyDescent="0.25">
      <c r="A28" s="78" t="s">
        <v>140</v>
      </c>
      <c r="B28" s="78"/>
      <c r="C28" s="78"/>
      <c r="D28" s="78"/>
      <c r="F28" s="3">
        <f>IF(F9&lt;&gt;"",-(1-UnosPodataka!$M$10)*F18,"")</f>
        <v>0</v>
      </c>
      <c r="G28" s="3">
        <f>IF(G9&lt;&gt;"",-(1-UnosPodataka!$M$10)*G18,"")</f>
        <v>0</v>
      </c>
      <c r="H28" s="3">
        <f>IF(H9&lt;&gt;"",-(1-UnosPodataka!$M$10)*H18,"")</f>
        <v>0</v>
      </c>
      <c r="I28" s="3">
        <f>IF(I9&lt;&gt;"",-(1-UnosPodataka!$M$10)*I18,"")</f>
        <v>0</v>
      </c>
      <c r="J28" s="3">
        <f>IF(J9&lt;&gt;"",-(1-UnosPodataka!$M$10)*J18,"")</f>
        <v>0</v>
      </c>
      <c r="K28" s="3">
        <f>IF(K9&lt;&gt;"",-(1-UnosPodataka!$M$10)*K18,"")</f>
        <v>0</v>
      </c>
      <c r="L28" s="3">
        <f>IF(L9&lt;&gt;"",-(1-UnosPodataka!$M$10)*L18,"")</f>
        <v>0</v>
      </c>
      <c r="M28" s="3">
        <f>IF(M9&lt;&gt;"",-(1-UnosPodataka!$M$10)*M18,"")</f>
        <v>0</v>
      </c>
      <c r="N28" s="3">
        <f>IF(N9&lt;&gt;"",-(1-UnosPodataka!$M$10)*N18,"")</f>
        <v>0</v>
      </c>
      <c r="O28" s="3">
        <f>IF(O9&lt;&gt;"",-(1-UnosPodataka!$M$10)*O18,"")</f>
        <v>0</v>
      </c>
      <c r="P28" s="3">
        <f>IF(P9&lt;&gt;"",-(1-UnosPodataka!$M$10)*P18,"")</f>
        <v>0</v>
      </c>
      <c r="Q28" s="3">
        <f>IF(Q9&lt;&gt;"",-(1-UnosPodataka!$M$10)*Q18,"")</f>
        <v>0</v>
      </c>
      <c r="R28" s="3">
        <f>IF(R9&lt;&gt;"",-(1-UnosPodataka!$M$10)*R18,"")</f>
        <v>0</v>
      </c>
      <c r="S28" s="3">
        <f>IF(S9&lt;&gt;"",-(1-UnosPodataka!$M$10)*S18,"")</f>
        <v>0</v>
      </c>
      <c r="T28" s="3">
        <f>IF(T9&lt;&gt;"",-(1-UnosPodataka!$M$10)*T18,"")</f>
        <v>0</v>
      </c>
      <c r="U28" s="3">
        <f>IF(U9&lt;&gt;"",-(1-UnosPodataka!$M$10)*U18,"")</f>
        <v>0</v>
      </c>
      <c r="V28" s="3">
        <f>IF(V9&lt;&gt;"",-(1-UnosPodataka!$M$10)*V18,"")</f>
        <v>0</v>
      </c>
      <c r="W28" s="3">
        <f>IF(W9&lt;&gt;"",-(1-UnosPodataka!$M$10)*W18,"")</f>
        <v>0</v>
      </c>
      <c r="X28" s="3">
        <f>IF(X9&lt;&gt;"",-(1-UnosPodataka!$M$10)*X18,"")</f>
        <v>0</v>
      </c>
      <c r="Y28" s="3">
        <f>IF(Y9&lt;&gt;"",-(1-UnosPodataka!$M$10)*Y18,"")</f>
        <v>0</v>
      </c>
    </row>
    <row r="29" spans="1:25" x14ac:dyDescent="0.25">
      <c r="A29" s="84" t="s">
        <v>120</v>
      </c>
      <c r="B29" s="84"/>
      <c r="C29" s="84"/>
      <c r="D29" s="84"/>
      <c r="E29" s="38"/>
      <c r="F29" s="39">
        <f>IF(F9&lt;&gt;"",SUM(F23:F28),"")</f>
        <v>-25835.952882517424</v>
      </c>
      <c r="G29" s="39">
        <f t="shared" ref="G29:Y29" si="1">IF(G9&lt;&gt;"",SUM(G23:G28),"")</f>
        <v>-25835.952882517424</v>
      </c>
      <c r="H29" s="39">
        <f t="shared" si="1"/>
        <v>-25835.952882517424</v>
      </c>
      <c r="I29" s="39">
        <f t="shared" si="1"/>
        <v>-25835.952882517424</v>
      </c>
      <c r="J29" s="39">
        <f t="shared" si="1"/>
        <v>-25835.952882517424</v>
      </c>
      <c r="K29" s="39">
        <f t="shared" si="1"/>
        <v>-25835.952882517424</v>
      </c>
      <c r="L29" s="39">
        <f t="shared" si="1"/>
        <v>-25835.952882517424</v>
      </c>
      <c r="M29" s="39">
        <f t="shared" si="1"/>
        <v>-25835.952882517424</v>
      </c>
      <c r="N29" s="39">
        <f t="shared" si="1"/>
        <v>-7920</v>
      </c>
      <c r="O29" s="39">
        <f t="shared" si="1"/>
        <v>-7920</v>
      </c>
      <c r="P29" s="39">
        <f t="shared" si="1"/>
        <v>-7920</v>
      </c>
      <c r="Q29" s="39">
        <f t="shared" si="1"/>
        <v>-7920</v>
      </c>
      <c r="R29" s="39">
        <f t="shared" si="1"/>
        <v>-7920</v>
      </c>
      <c r="S29" s="39">
        <f t="shared" si="1"/>
        <v>-7920</v>
      </c>
      <c r="T29" s="39">
        <f t="shared" si="1"/>
        <v>-7920</v>
      </c>
      <c r="U29" s="39">
        <f t="shared" si="1"/>
        <v>-7920</v>
      </c>
      <c r="V29" s="39">
        <f t="shared" si="1"/>
        <v>-7920</v>
      </c>
      <c r="W29" s="39">
        <f t="shared" si="1"/>
        <v>-7920</v>
      </c>
      <c r="X29" s="39">
        <f t="shared" si="1"/>
        <v>-7920</v>
      </c>
      <c r="Y29" s="39">
        <f t="shared" si="1"/>
        <v>-7920</v>
      </c>
    </row>
    <row r="31" spans="1:25" x14ac:dyDescent="0.25">
      <c r="A31" t="s">
        <v>165</v>
      </c>
      <c r="E31" s="3">
        <f>-SUM(E11:E13)</f>
        <v>-144000</v>
      </c>
      <c r="F31" s="3">
        <f>+F29-F27-F34</f>
        <v>-24479.928687452233</v>
      </c>
      <c r="G31" s="3">
        <f t="shared" ref="G31:Y31" si="2">+G29-G27-G34</f>
        <v>-24610.175839337546</v>
      </c>
      <c r="H31" s="3">
        <f t="shared" si="2"/>
        <v>-24756.052649449095</v>
      </c>
      <c r="I31" s="3">
        <f t="shared" si="2"/>
        <v>-24919.434676774035</v>
      </c>
      <c r="J31" s="3">
        <f t="shared" si="2"/>
        <v>-25102.422547377962</v>
      </c>
      <c r="K31" s="3">
        <f t="shared" si="2"/>
        <v>-25307.368962454366</v>
      </c>
      <c r="L31" s="3">
        <f t="shared" si="2"/>
        <v>-25536.908947339936</v>
      </c>
      <c r="M31" s="3">
        <f t="shared" si="2"/>
        <v>-25793.993730411774</v>
      </c>
      <c r="N31" s="3">
        <f t="shared" si="2"/>
        <v>-8165.9758049348075</v>
      </c>
      <c r="O31" s="3">
        <f t="shared" si="2"/>
        <v>-8165.9758049348075</v>
      </c>
      <c r="P31" s="3">
        <f t="shared" si="2"/>
        <v>-8165.9758049348075</v>
      </c>
      <c r="Q31" s="3">
        <f t="shared" si="2"/>
        <v>-8165.9758049348075</v>
      </c>
      <c r="R31" s="3">
        <f t="shared" si="2"/>
        <v>-8165.9758049348075</v>
      </c>
      <c r="S31" s="3">
        <f t="shared" si="2"/>
        <v>-8165.9758049348075</v>
      </c>
      <c r="T31" s="3">
        <f t="shared" si="2"/>
        <v>-8165.9758049348075</v>
      </c>
      <c r="U31" s="3">
        <f t="shared" si="2"/>
        <v>-8165.9758049348075</v>
      </c>
      <c r="V31" s="3">
        <f t="shared" si="2"/>
        <v>-8165.9758049348075</v>
      </c>
      <c r="W31" s="3">
        <f t="shared" si="2"/>
        <v>-8165.9758049348075</v>
      </c>
      <c r="X31" s="3">
        <f t="shared" si="2"/>
        <v>-8165.9758049348075</v>
      </c>
      <c r="Y31" s="3">
        <f t="shared" si="2"/>
        <v>-8165.9758049348075</v>
      </c>
    </row>
    <row r="32" spans="1:25" x14ac:dyDescent="0.25">
      <c r="A32" s="70" t="s">
        <v>166</v>
      </c>
      <c r="B32" s="70"/>
      <c r="C32" s="70"/>
      <c r="D32" s="70"/>
      <c r="F32" s="3">
        <f>IF(F9&lt;&gt;"",F20+F29-F24,"")</f>
        <v>14959.838699565385</v>
      </c>
      <c r="G32" s="3">
        <f t="shared" ref="G32:Y32" si="3">IF(G9&lt;&gt;"",G20+G29-G24,"")</f>
        <v>15828.153045467476</v>
      </c>
      <c r="H32" s="3">
        <f t="shared" si="3"/>
        <v>16800.665112877818</v>
      </c>
      <c r="I32" s="3">
        <f t="shared" si="3"/>
        <v>17889.878628377399</v>
      </c>
      <c r="J32" s="3">
        <f t="shared" si="3"/>
        <v>19109.797765736934</v>
      </c>
      <c r="K32" s="3">
        <f t="shared" si="3"/>
        <v>20476.107199579608</v>
      </c>
      <c r="L32" s="3">
        <f t="shared" si="3"/>
        <v>22006.373765483404</v>
      </c>
      <c r="M32" s="3">
        <f t="shared" si="3"/>
        <v>23720.272319295658</v>
      </c>
      <c r="N32" s="3">
        <f t="shared" si="3"/>
        <v>25639.838699565385</v>
      </c>
      <c r="O32" s="3">
        <f t="shared" si="3"/>
        <v>25639.838699565385</v>
      </c>
      <c r="P32" s="3">
        <f t="shared" si="3"/>
        <v>25639.838699565385</v>
      </c>
      <c r="Q32" s="3">
        <f t="shared" si="3"/>
        <v>25639.838699565385</v>
      </c>
      <c r="R32" s="3">
        <f t="shared" si="3"/>
        <v>25639.838699565385</v>
      </c>
      <c r="S32" s="3">
        <f t="shared" si="3"/>
        <v>25639.838699565385</v>
      </c>
      <c r="T32" s="3">
        <f t="shared" si="3"/>
        <v>25639.838699565385</v>
      </c>
      <c r="U32" s="3">
        <f t="shared" si="3"/>
        <v>25639.838699565385</v>
      </c>
      <c r="V32" s="3">
        <f t="shared" si="3"/>
        <v>25639.838699565385</v>
      </c>
      <c r="W32" s="3">
        <f t="shared" si="3"/>
        <v>25639.838699565385</v>
      </c>
      <c r="X32" s="3">
        <f t="shared" si="3"/>
        <v>25639.838699565385</v>
      </c>
      <c r="Y32" s="3">
        <f t="shared" si="3"/>
        <v>25639.838699565385</v>
      </c>
    </row>
    <row r="33" spans="1:25" x14ac:dyDescent="0.25">
      <c r="A33" s="83"/>
      <c r="B33" s="83"/>
      <c r="C33" s="83"/>
      <c r="D33" s="83"/>
    </row>
    <row r="34" spans="1:25" x14ac:dyDescent="0.25">
      <c r="A34" s="78" t="s">
        <v>121</v>
      </c>
      <c r="B34" s="78"/>
      <c r="C34" s="78"/>
      <c r="D34" s="78"/>
      <c r="F34" s="3">
        <f>IF(F9&lt;&gt;"",IF(F32&gt;0,F32*VAT,0),"")</f>
        <v>2243.9758049348079</v>
      </c>
      <c r="G34" s="3">
        <f t="shared" ref="G34:Y34" si="4">IF(G9&lt;&gt;"",IF(G32&gt;0,G32*VAT,0),"")</f>
        <v>2374.2229568201215</v>
      </c>
      <c r="H34" s="3">
        <f t="shared" si="4"/>
        <v>2520.0997669316725</v>
      </c>
      <c r="I34" s="3">
        <f t="shared" si="4"/>
        <v>2683.4817942566096</v>
      </c>
      <c r="J34" s="3">
        <f t="shared" si="4"/>
        <v>2866.46966486054</v>
      </c>
      <c r="K34" s="3">
        <f t="shared" si="4"/>
        <v>3071.4160799369411</v>
      </c>
      <c r="L34" s="3">
        <f t="shared" si="4"/>
        <v>3300.9560648225106</v>
      </c>
      <c r="M34" s="3">
        <f t="shared" si="4"/>
        <v>3558.0408478943486</v>
      </c>
      <c r="N34" s="3">
        <f t="shared" si="4"/>
        <v>3845.9758049348075</v>
      </c>
      <c r="O34" s="3">
        <f t="shared" si="4"/>
        <v>3845.9758049348075</v>
      </c>
      <c r="P34" s="3">
        <f t="shared" si="4"/>
        <v>3845.9758049348075</v>
      </c>
      <c r="Q34" s="3">
        <f t="shared" si="4"/>
        <v>3845.9758049348075</v>
      </c>
      <c r="R34" s="3">
        <f t="shared" si="4"/>
        <v>3845.9758049348075</v>
      </c>
      <c r="S34" s="3">
        <f t="shared" si="4"/>
        <v>3845.9758049348075</v>
      </c>
      <c r="T34" s="3">
        <f t="shared" si="4"/>
        <v>3845.9758049348075</v>
      </c>
      <c r="U34" s="3">
        <f t="shared" si="4"/>
        <v>3845.9758049348075</v>
      </c>
      <c r="V34" s="3">
        <f t="shared" si="4"/>
        <v>3845.9758049348075</v>
      </c>
      <c r="W34" s="3">
        <f t="shared" si="4"/>
        <v>3845.9758049348075</v>
      </c>
      <c r="X34" s="3">
        <f t="shared" si="4"/>
        <v>3845.9758049348075</v>
      </c>
      <c r="Y34" s="3">
        <f t="shared" si="4"/>
        <v>3845.9758049348075</v>
      </c>
    </row>
    <row r="35" spans="1:25" x14ac:dyDescent="0.25">
      <c r="A35" s="70" t="s">
        <v>122</v>
      </c>
      <c r="B35" s="70"/>
      <c r="C35" s="70"/>
      <c r="D35" s="70"/>
      <c r="E35" s="3"/>
      <c r="F35" s="3">
        <f>IF(F9&lt;&gt;"",F32-F34,"")</f>
        <v>12715.862894630578</v>
      </c>
      <c r="G35" s="3">
        <f t="shared" ref="G35:Y35" si="5">IF(G9&lt;&gt;"",G32-G34,"")</f>
        <v>13453.930088647354</v>
      </c>
      <c r="H35" s="3">
        <f t="shared" si="5"/>
        <v>14280.565345946145</v>
      </c>
      <c r="I35" s="3">
        <f t="shared" si="5"/>
        <v>15206.396834120789</v>
      </c>
      <c r="J35" s="3">
        <f t="shared" si="5"/>
        <v>16243.328100876393</v>
      </c>
      <c r="K35" s="3">
        <f t="shared" si="5"/>
        <v>17404.691119642666</v>
      </c>
      <c r="L35" s="3">
        <f t="shared" si="5"/>
        <v>18705.417700660895</v>
      </c>
      <c r="M35" s="3">
        <f t="shared" si="5"/>
        <v>20162.231471401308</v>
      </c>
      <c r="N35" s="3">
        <f t="shared" si="5"/>
        <v>21793.862894630576</v>
      </c>
      <c r="O35" s="3">
        <f t="shared" si="5"/>
        <v>21793.862894630576</v>
      </c>
      <c r="P35" s="3">
        <f t="shared" si="5"/>
        <v>21793.862894630576</v>
      </c>
      <c r="Q35" s="3">
        <f t="shared" si="5"/>
        <v>21793.862894630576</v>
      </c>
      <c r="R35" s="3">
        <f t="shared" si="5"/>
        <v>21793.862894630576</v>
      </c>
      <c r="S35" s="3">
        <f t="shared" si="5"/>
        <v>21793.862894630576</v>
      </c>
      <c r="T35" s="3">
        <f t="shared" si="5"/>
        <v>21793.862894630576</v>
      </c>
      <c r="U35" s="3">
        <f t="shared" si="5"/>
        <v>21793.862894630576</v>
      </c>
      <c r="V35" s="3">
        <f t="shared" si="5"/>
        <v>21793.862894630576</v>
      </c>
      <c r="W35" s="3">
        <f t="shared" si="5"/>
        <v>21793.862894630576</v>
      </c>
      <c r="X35" s="3">
        <f t="shared" si="5"/>
        <v>21793.862894630576</v>
      </c>
      <c r="Y35" s="3">
        <f t="shared" si="5"/>
        <v>21793.862894630576</v>
      </c>
    </row>
    <row r="37" spans="1:25" x14ac:dyDescent="0.25">
      <c r="A37" s="42" t="s">
        <v>175</v>
      </c>
      <c r="E37" s="3">
        <f>-SUM(E11:E13)</f>
        <v>-144000</v>
      </c>
      <c r="F37" s="3">
        <f>+F35+F24-F27</f>
        <v>9079.9100121131542</v>
      </c>
      <c r="G37" s="3">
        <f t="shared" ref="G37:Y37" si="6">+G35+G24-G27</f>
        <v>8949.6628602278397</v>
      </c>
      <c r="H37" s="3">
        <f t="shared" si="6"/>
        <v>8803.7860501162886</v>
      </c>
      <c r="I37" s="3">
        <f t="shared" si="6"/>
        <v>8640.404022791352</v>
      </c>
      <c r="J37" s="3">
        <f t="shared" si="6"/>
        <v>8457.416152187423</v>
      </c>
      <c r="K37" s="3">
        <f t="shared" si="6"/>
        <v>8252.4697371110196</v>
      </c>
      <c r="L37" s="3">
        <f t="shared" si="6"/>
        <v>8022.929752225451</v>
      </c>
      <c r="M37" s="3">
        <f t="shared" si="6"/>
        <v>7765.8449691536116</v>
      </c>
      <c r="N37" s="3">
        <f t="shared" si="6"/>
        <v>25393.862894630576</v>
      </c>
      <c r="O37" s="3">
        <f t="shared" si="6"/>
        <v>25393.862894630576</v>
      </c>
      <c r="P37" s="3">
        <f t="shared" si="6"/>
        <v>25393.862894630576</v>
      </c>
      <c r="Q37" s="3">
        <f t="shared" si="6"/>
        <v>25393.862894630576</v>
      </c>
      <c r="R37" s="3">
        <f t="shared" si="6"/>
        <v>25393.862894630576</v>
      </c>
      <c r="S37" s="3">
        <f t="shared" si="6"/>
        <v>25393.862894630576</v>
      </c>
      <c r="T37" s="3">
        <f t="shared" si="6"/>
        <v>25393.862894630576</v>
      </c>
      <c r="U37" s="3">
        <f t="shared" si="6"/>
        <v>25393.862894630576</v>
      </c>
      <c r="V37" s="3">
        <f t="shared" si="6"/>
        <v>25393.862894630576</v>
      </c>
      <c r="W37" s="3">
        <f t="shared" si="6"/>
        <v>25393.862894630576</v>
      </c>
      <c r="X37" s="3">
        <f t="shared" si="6"/>
        <v>25393.862894630576</v>
      </c>
      <c r="Y37" s="3">
        <f t="shared" si="6"/>
        <v>25393.862894630576</v>
      </c>
    </row>
    <row r="38" spans="1:25" x14ac:dyDescent="0.25">
      <c r="A38" s="42" t="s">
        <v>176</v>
      </c>
      <c r="E38" s="3">
        <f>+E37</f>
        <v>-144000</v>
      </c>
      <c r="F38" s="3">
        <f>+E38+F37</f>
        <v>-134920.08998788684</v>
      </c>
      <c r="G38" s="3">
        <f t="shared" ref="G38:Y38" si="7">+F38+G37</f>
        <v>-125970.427127659</v>
      </c>
      <c r="H38" s="3">
        <f t="shared" si="7"/>
        <v>-117166.64107754271</v>
      </c>
      <c r="I38" s="3">
        <f t="shared" si="7"/>
        <v>-108526.23705475136</v>
      </c>
      <c r="J38" s="3">
        <f t="shared" si="7"/>
        <v>-100068.82090256394</v>
      </c>
      <c r="K38" s="3">
        <f t="shared" si="7"/>
        <v>-91816.351165452914</v>
      </c>
      <c r="L38" s="3">
        <f t="shared" si="7"/>
        <v>-83793.421413227465</v>
      </c>
      <c r="M38" s="3">
        <f t="shared" si="7"/>
        <v>-76027.576444073857</v>
      </c>
      <c r="N38" s="3">
        <f t="shared" si="7"/>
        <v>-50633.71354944328</v>
      </c>
      <c r="O38" s="3">
        <f t="shared" si="7"/>
        <v>-25239.850654812704</v>
      </c>
      <c r="P38" s="3">
        <f t="shared" si="7"/>
        <v>154.01223981787189</v>
      </c>
      <c r="Q38" s="3">
        <f t="shared" si="7"/>
        <v>25547.875134448448</v>
      </c>
      <c r="R38" s="3">
        <f t="shared" si="7"/>
        <v>50941.738029079024</v>
      </c>
      <c r="S38" s="3">
        <f t="shared" si="7"/>
        <v>76335.6009237096</v>
      </c>
      <c r="T38" s="3">
        <f t="shared" si="7"/>
        <v>101729.46381834018</v>
      </c>
      <c r="U38" s="3">
        <f t="shared" si="7"/>
        <v>127123.32671297077</v>
      </c>
      <c r="V38" s="3">
        <f t="shared" si="7"/>
        <v>152517.18960760135</v>
      </c>
      <c r="W38" s="3">
        <f t="shared" si="7"/>
        <v>177911.05250223193</v>
      </c>
      <c r="X38" s="3">
        <f t="shared" si="7"/>
        <v>203304.91539686252</v>
      </c>
      <c r="Y38" s="3">
        <f t="shared" si="7"/>
        <v>228698.7782914931</v>
      </c>
    </row>
    <row r="39" spans="1:25" x14ac:dyDescent="0.25">
      <c r="A39" s="16"/>
    </row>
    <row r="40" spans="1:25" x14ac:dyDescent="0.25">
      <c r="A40" s="42" t="s">
        <v>67</v>
      </c>
      <c r="E40" s="7">
        <f>+PomTab1!L25</f>
        <v>8.428819444444445E-2</v>
      </c>
    </row>
    <row r="41" spans="1:25" x14ac:dyDescent="0.25">
      <c r="A41" s="42" t="s">
        <v>177</v>
      </c>
      <c r="E41" s="3">
        <f>IF(E9&lt;&gt;"",E37*(1+$E$40)^-E9,"")</f>
        <v>-144000</v>
      </c>
      <c r="F41">
        <f>IF(F9&lt;&gt;"",F37*(1+$E$40)^-F9,"")</f>
        <v>8374.07440073201</v>
      </c>
      <c r="G41">
        <f t="shared" ref="G41:Y41" si="8">IF(G9&lt;&gt;"",G37*(1+$E$40)^-G9,"")</f>
        <v>7612.3231626201214</v>
      </c>
      <c r="H41">
        <f t="shared" si="8"/>
        <v>6906.1386311396691</v>
      </c>
      <c r="I41">
        <f t="shared" si="8"/>
        <v>6251.0810997875442</v>
      </c>
      <c r="J41">
        <f t="shared" si="8"/>
        <v>5643.0520289132282</v>
      </c>
      <c r="K41">
        <f t="shared" si="8"/>
        <v>5078.2673944217822</v>
      </c>
      <c r="L41">
        <f t="shared" si="8"/>
        <v>4553.2331039477403</v>
      </c>
      <c r="M41">
        <f t="shared" si="8"/>
        <v>4064.7223196416239</v>
      </c>
      <c r="N41">
        <f t="shared" si="8"/>
        <v>12258.186004311387</v>
      </c>
      <c r="O41">
        <f t="shared" si="8"/>
        <v>11305.284026072146</v>
      </c>
      <c r="P41">
        <f t="shared" si="8"/>
        <v>10426.456807329365</v>
      </c>
      <c r="Q41">
        <f t="shared" si="8"/>
        <v>9615.9460748086058</v>
      </c>
      <c r="R41">
        <f t="shared" si="8"/>
        <v>8868.4411801933493</v>
      </c>
      <c r="S41">
        <f t="shared" si="8"/>
        <v>8179.0443035647577</v>
      </c>
      <c r="T41">
        <f t="shared" si="8"/>
        <v>7543.2383617857658</v>
      </c>
      <c r="U41">
        <f t="shared" si="8"/>
        <v>6956.8574115580832</v>
      </c>
      <c r="V41">
        <f t="shared" si="8"/>
        <v>6416.0593532262519</v>
      </c>
      <c r="W41">
        <f t="shared" si="8"/>
        <v>5917.3007564779782</v>
      </c>
      <c r="X41">
        <f t="shared" si="8"/>
        <v>5457.3136429930591</v>
      </c>
      <c r="Y41">
        <f t="shared" si="8"/>
        <v>5033.084073915622</v>
      </c>
    </row>
    <row r="42" spans="1:25" x14ac:dyDescent="0.25">
      <c r="A42" s="42" t="s">
        <v>178</v>
      </c>
      <c r="E42" s="3">
        <f>+E41</f>
        <v>-144000</v>
      </c>
      <c r="F42" s="3">
        <f>+E42+F41</f>
        <v>-135625.925599268</v>
      </c>
      <c r="G42" s="3">
        <f t="shared" ref="G42:X42" si="9">+F42+G41</f>
        <v>-128013.60243664788</v>
      </c>
      <c r="H42" s="3">
        <f t="shared" si="9"/>
        <v>-121107.46380550822</v>
      </c>
      <c r="I42" s="3">
        <f t="shared" si="9"/>
        <v>-114856.38270572068</v>
      </c>
      <c r="J42" s="3">
        <f t="shared" si="9"/>
        <v>-109213.33067680745</v>
      </c>
      <c r="K42" s="3">
        <f t="shared" si="9"/>
        <v>-104135.06328238567</v>
      </c>
      <c r="L42" s="3">
        <f t="shared" si="9"/>
        <v>-99581.830178437929</v>
      </c>
      <c r="M42" s="3">
        <f t="shared" si="9"/>
        <v>-95517.107858796298</v>
      </c>
      <c r="N42" s="3">
        <f t="shared" si="9"/>
        <v>-83258.921854484914</v>
      </c>
      <c r="O42" s="3">
        <f t="shared" si="9"/>
        <v>-71953.637828412771</v>
      </c>
      <c r="P42" s="3">
        <f t="shared" si="9"/>
        <v>-61527.181021083408</v>
      </c>
      <c r="Q42" s="3">
        <f t="shared" si="9"/>
        <v>-51911.234946274802</v>
      </c>
      <c r="R42" s="3">
        <f t="shared" si="9"/>
        <v>-43042.79376608145</v>
      </c>
      <c r="S42" s="3">
        <f t="shared" si="9"/>
        <v>-34863.749462516695</v>
      </c>
      <c r="T42" s="3">
        <f t="shared" si="9"/>
        <v>-27320.511100730928</v>
      </c>
      <c r="U42" s="3">
        <f t="shared" si="9"/>
        <v>-20363.653689172846</v>
      </c>
      <c r="V42" s="3">
        <f t="shared" si="9"/>
        <v>-13947.594335946595</v>
      </c>
      <c r="W42" s="3">
        <f t="shared" si="9"/>
        <v>-8030.2935794686164</v>
      </c>
      <c r="X42" s="3">
        <f t="shared" si="9"/>
        <v>-2572.9799364755572</v>
      </c>
    </row>
    <row r="43" spans="1:25" x14ac:dyDescent="0.25">
      <c r="A43" s="42"/>
    </row>
    <row r="44" spans="1:25" x14ac:dyDescent="0.25">
      <c r="A44" s="43" t="s">
        <v>179</v>
      </c>
      <c r="B44" s="40"/>
      <c r="C44" s="40"/>
      <c r="D44" s="40"/>
      <c r="E44" s="44">
        <f>+NPV(E40,E37:Y37)</f>
        <v>2268.8655562652939</v>
      </c>
      <c r="F44" s="45"/>
    </row>
    <row r="45" spans="1:25" x14ac:dyDescent="0.25">
      <c r="A45" s="43" t="s">
        <v>180</v>
      </c>
      <c r="B45" s="40"/>
      <c r="C45" s="40"/>
      <c r="D45" s="40"/>
      <c r="E45" s="46">
        <f>+IRR(E37:Y37,10%)</f>
        <v>8.6063549634013414E-2</v>
      </c>
      <c r="F45" s="40"/>
    </row>
    <row r="46" spans="1:25" x14ac:dyDescent="0.25">
      <c r="A46" s="43" t="s">
        <v>181</v>
      </c>
      <c r="B46" s="40"/>
      <c r="C46" s="40"/>
      <c r="D46" s="40"/>
      <c r="E46" s="44" cm="1">
        <f t="array" ref="E46">+NPV(E40,F20:Y20/-NPV(E40,E31:Y31))</f>
        <v>1.0927087194580751</v>
      </c>
      <c r="F46" s="40"/>
    </row>
    <row r="47" spans="1:25" x14ac:dyDescent="0.25">
      <c r="A47" s="43" t="s">
        <v>182</v>
      </c>
      <c r="B47" s="40"/>
      <c r="C47" s="40"/>
      <c r="D47" s="40"/>
      <c r="E47" s="55" cm="1">
        <f t="array" ref="E47">+LOOKUP(INDEX(E38:Y38,MATCH(TRUE,E38:Y38&gt;0,0)),E38:Y38,E9:Y9)</f>
        <v>11</v>
      </c>
      <c r="F47" s="40" t="s">
        <v>184</v>
      </c>
    </row>
    <row r="48" spans="1:25" x14ac:dyDescent="0.25">
      <c r="A48" s="43" t="s">
        <v>183</v>
      </c>
      <c r="B48" s="40"/>
      <c r="C48" s="40"/>
      <c r="D48" s="40"/>
      <c r="E48" s="44" t="e" cm="1">
        <f t="array" ref="E48">+LOOKUP(INDEX(E42:Y42,MATCH(TRUE,E42:Y42&gt;0,0)),E42:Y42,E9:Y9)</f>
        <v>#N/A</v>
      </c>
      <c r="F48" s="40" t="s">
        <v>184</v>
      </c>
    </row>
    <row r="51" spans="1:26" x14ac:dyDescent="0.25">
      <c r="A51" s="78" t="s">
        <v>167</v>
      </c>
      <c r="B51" s="78"/>
      <c r="C51" s="78"/>
      <c r="D51" s="78"/>
      <c r="E51" s="3">
        <f>-SUM(E11:E13)</f>
        <v>-144000</v>
      </c>
      <c r="F51" s="3">
        <f t="shared" ref="F51:Y51" si="10">IF(F9&lt;&gt;"",F29,"")</f>
        <v>-25835.952882517424</v>
      </c>
      <c r="G51" s="3">
        <f t="shared" si="10"/>
        <v>-25835.952882517424</v>
      </c>
      <c r="H51" s="3">
        <f t="shared" si="10"/>
        <v>-25835.952882517424</v>
      </c>
      <c r="I51" s="3">
        <f t="shared" si="10"/>
        <v>-25835.952882517424</v>
      </c>
      <c r="J51" s="3">
        <f t="shared" si="10"/>
        <v>-25835.952882517424</v>
      </c>
      <c r="K51" s="3">
        <f t="shared" si="10"/>
        <v>-25835.952882517424</v>
      </c>
      <c r="L51" s="3">
        <f t="shared" si="10"/>
        <v>-25835.952882517424</v>
      </c>
      <c r="M51" s="3">
        <f t="shared" si="10"/>
        <v>-25835.952882517424</v>
      </c>
      <c r="N51" s="3">
        <f t="shared" si="10"/>
        <v>-7920</v>
      </c>
      <c r="O51" s="3">
        <f t="shared" si="10"/>
        <v>-7920</v>
      </c>
      <c r="P51" s="3">
        <f t="shared" si="10"/>
        <v>-7920</v>
      </c>
      <c r="Q51" s="3">
        <f t="shared" si="10"/>
        <v>-7920</v>
      </c>
      <c r="R51" s="3">
        <f t="shared" si="10"/>
        <v>-7920</v>
      </c>
      <c r="S51" s="3">
        <f t="shared" si="10"/>
        <v>-7920</v>
      </c>
      <c r="T51" s="3">
        <f t="shared" si="10"/>
        <v>-7920</v>
      </c>
      <c r="U51" s="3">
        <f t="shared" si="10"/>
        <v>-7920</v>
      </c>
      <c r="V51" s="3">
        <f t="shared" si="10"/>
        <v>-7920</v>
      </c>
      <c r="W51" s="3">
        <f t="shared" si="10"/>
        <v>-7920</v>
      </c>
      <c r="X51" s="3">
        <f t="shared" si="10"/>
        <v>-7920</v>
      </c>
      <c r="Y51" s="3">
        <f t="shared" si="10"/>
        <v>-7920</v>
      </c>
      <c r="Z51" s="3"/>
    </row>
    <row r="52" spans="1:26" x14ac:dyDescent="0.25">
      <c r="A52" s="78" t="s">
        <v>168</v>
      </c>
      <c r="B52" s="78"/>
      <c r="C52" s="78"/>
      <c r="D52" s="78"/>
      <c r="E52" s="3">
        <f>IF(E9&lt;&gt;"",E51*(1+$E$40)^-E9,"")</f>
        <v>-144000</v>
      </c>
      <c r="F52" s="3">
        <f>IF(F9&lt;&gt;"",F51*(1+$E$40)^-F9,"")</f>
        <v>-23827.570026947462</v>
      </c>
      <c r="G52" s="3">
        <f t="shared" ref="G52:Y52" si="11">IF(G9&lt;&gt;"",G51*(1+$E$40)^-G9,"")</f>
        <v>-21975.310760582397</v>
      </c>
      <c r="H52" s="3">
        <f t="shared" si="11"/>
        <v>-20267.038664791387</v>
      </c>
      <c r="I52" s="3">
        <f t="shared" si="11"/>
        <v>-18691.560757216936</v>
      </c>
      <c r="J52" s="3">
        <f t="shared" si="11"/>
        <v>-17238.554152841174</v>
      </c>
      <c r="K52" s="3">
        <f t="shared" si="11"/>
        <v>-15898.498426125236</v>
      </c>
      <c r="L52" s="3">
        <f t="shared" si="11"/>
        <v>-14662.613231043366</v>
      </c>
      <c r="M52" s="3">
        <f t="shared" si="11"/>
        <v>-13522.800770284171</v>
      </c>
      <c r="N52" s="3">
        <f t="shared" si="11"/>
        <v>-3823.1612715635456</v>
      </c>
      <c r="O52" s="3">
        <f t="shared" si="11"/>
        <v>-3525.9641220408334</v>
      </c>
      <c r="P52" s="3">
        <f t="shared" si="11"/>
        <v>-3251.8698811872864</v>
      </c>
      <c r="Q52" s="3">
        <f t="shared" si="11"/>
        <v>-2999.0826219900359</v>
      </c>
      <c r="R52" s="3">
        <f t="shared" si="11"/>
        <v>-2765.9460255644235</v>
      </c>
      <c r="S52" s="3">
        <f t="shared" si="11"/>
        <v>-2550.9325285807508</v>
      </c>
      <c r="T52" s="3">
        <f t="shared" si="11"/>
        <v>-2352.6333143263346</v>
      </c>
      <c r="U52" s="3">
        <f t="shared" si="11"/>
        <v>-2169.7490818220622</v>
      </c>
      <c r="V52" s="3">
        <f t="shared" si="11"/>
        <v>-2001.0815325106198</v>
      </c>
      <c r="W52" s="3">
        <f t="shared" si="11"/>
        <v>-1845.5255187352766</v>
      </c>
      <c r="X52" s="3">
        <f t="shared" si="11"/>
        <v>-1702.0618025642771</v>
      </c>
      <c r="Y52" s="3">
        <f t="shared" si="11"/>
        <v>-1569.7503775150483</v>
      </c>
      <c r="Z52" s="3"/>
    </row>
    <row r="53" spans="1:26" x14ac:dyDescent="0.25">
      <c r="A53" s="78" t="s">
        <v>169</v>
      </c>
      <c r="B53" s="78"/>
      <c r="C53" s="78"/>
      <c r="D53" s="78"/>
      <c r="E53" s="3">
        <f>+E52</f>
        <v>-144000</v>
      </c>
      <c r="F53" s="3">
        <f>+E53+F52</f>
        <v>-167827.57002694748</v>
      </c>
      <c r="G53" s="3">
        <f t="shared" ref="G53:Y53" si="12">+F53+G52</f>
        <v>-189802.88078752987</v>
      </c>
      <c r="H53" s="3">
        <f t="shared" si="12"/>
        <v>-210069.91945232125</v>
      </c>
      <c r="I53" s="3">
        <f t="shared" si="12"/>
        <v>-228761.48020953819</v>
      </c>
      <c r="J53" s="3">
        <f t="shared" si="12"/>
        <v>-246000.03436237937</v>
      </c>
      <c r="K53" s="3">
        <f t="shared" si="12"/>
        <v>-261898.53278850461</v>
      </c>
      <c r="L53" s="3">
        <f t="shared" si="12"/>
        <v>-276561.146019548</v>
      </c>
      <c r="M53" s="3">
        <f t="shared" si="12"/>
        <v>-290083.9467898322</v>
      </c>
      <c r="N53" s="3">
        <f t="shared" si="12"/>
        <v>-293907.10806139576</v>
      </c>
      <c r="O53" s="3">
        <f t="shared" si="12"/>
        <v>-297433.0721834366</v>
      </c>
      <c r="P53" s="3">
        <f t="shared" si="12"/>
        <v>-300684.94206462387</v>
      </c>
      <c r="Q53" s="3">
        <f t="shared" si="12"/>
        <v>-303684.02468661394</v>
      </c>
      <c r="R53" s="3">
        <f t="shared" si="12"/>
        <v>-306449.97071217839</v>
      </c>
      <c r="S53" s="3">
        <f t="shared" si="12"/>
        <v>-309000.90324075916</v>
      </c>
      <c r="T53" s="3">
        <f t="shared" si="12"/>
        <v>-311353.53655508551</v>
      </c>
      <c r="U53" s="3">
        <f t="shared" si="12"/>
        <v>-313523.28563690756</v>
      </c>
      <c r="V53" s="3">
        <f t="shared" si="12"/>
        <v>-315524.3671694182</v>
      </c>
      <c r="W53" s="3">
        <f t="shared" si="12"/>
        <v>-317369.89268815349</v>
      </c>
      <c r="X53" s="3">
        <f t="shared" si="12"/>
        <v>-319071.95449071779</v>
      </c>
      <c r="Y53" s="3">
        <f t="shared" si="12"/>
        <v>-320641.70486823283</v>
      </c>
    </row>
    <row r="54" spans="1:26" x14ac:dyDescent="0.25">
      <c r="A54" s="78" t="s">
        <v>170</v>
      </c>
      <c r="B54" s="78"/>
      <c r="C54" s="78"/>
      <c r="D54" s="78"/>
      <c r="F54" s="3">
        <f t="shared" ref="F54:Y54" si="13">IF(F9&lt;&gt;"",F20,"")</f>
        <v>33559.838699565385</v>
      </c>
      <c r="G54" s="3">
        <f t="shared" si="13"/>
        <v>33559.838699565385</v>
      </c>
      <c r="H54" s="3">
        <f t="shared" si="13"/>
        <v>33559.838699565385</v>
      </c>
      <c r="I54" s="3">
        <f t="shared" si="13"/>
        <v>33559.838699565385</v>
      </c>
      <c r="J54" s="3">
        <f t="shared" si="13"/>
        <v>33559.838699565385</v>
      </c>
      <c r="K54" s="3">
        <f t="shared" si="13"/>
        <v>33559.838699565385</v>
      </c>
      <c r="L54" s="3">
        <f t="shared" si="13"/>
        <v>33559.838699565385</v>
      </c>
      <c r="M54" s="3">
        <f t="shared" si="13"/>
        <v>33559.838699565385</v>
      </c>
      <c r="N54" s="3">
        <f t="shared" si="13"/>
        <v>33559.838699565385</v>
      </c>
      <c r="O54" s="3">
        <f t="shared" si="13"/>
        <v>33559.838699565385</v>
      </c>
      <c r="P54" s="3">
        <f t="shared" si="13"/>
        <v>33559.838699565385</v>
      </c>
      <c r="Q54" s="3">
        <f t="shared" si="13"/>
        <v>33559.838699565385</v>
      </c>
      <c r="R54" s="3">
        <f t="shared" si="13"/>
        <v>33559.838699565385</v>
      </c>
      <c r="S54" s="3">
        <f t="shared" si="13"/>
        <v>33559.838699565385</v>
      </c>
      <c r="T54" s="3">
        <f t="shared" si="13"/>
        <v>33559.838699565385</v>
      </c>
      <c r="U54" s="3">
        <f t="shared" si="13"/>
        <v>33559.838699565385</v>
      </c>
      <c r="V54" s="3">
        <f t="shared" si="13"/>
        <v>33559.838699565385</v>
      </c>
      <c r="W54" s="3">
        <f t="shared" si="13"/>
        <v>33559.838699565385</v>
      </c>
      <c r="X54" s="3">
        <f t="shared" si="13"/>
        <v>33559.838699565385</v>
      </c>
      <c r="Y54" s="3">
        <f t="shared" si="13"/>
        <v>33559.838699565385</v>
      </c>
    </row>
    <row r="55" spans="1:26" x14ac:dyDescent="0.25">
      <c r="A55" s="78" t="s">
        <v>171</v>
      </c>
      <c r="B55" s="78"/>
      <c r="C55" s="78"/>
      <c r="D55" s="78"/>
      <c r="F55" s="3">
        <f>IF(F9&lt;&gt;"",F54*(1+$E$40)^-F9,"")</f>
        <v>30951.032088623269</v>
      </c>
      <c r="G55" s="3">
        <f t="shared" ref="G55:Y55" si="14">IF(G9&lt;&gt;"",G54*(1+$E$40)^-G9,"")</f>
        <v>28545.023589859902</v>
      </c>
      <c r="H55" s="3">
        <f t="shared" si="14"/>
        <v>26326.048495331524</v>
      </c>
      <c r="I55" s="3">
        <f t="shared" si="14"/>
        <v>24279.56758195654</v>
      </c>
      <c r="J55" s="3">
        <f t="shared" si="14"/>
        <v>22392.171847261176</v>
      </c>
      <c r="K55" s="3">
        <f t="shared" si="14"/>
        <v>20651.494650584318</v>
      </c>
      <c r="L55" s="3">
        <f t="shared" si="14"/>
        <v>19046.130684071035</v>
      </c>
      <c r="M55" s="3">
        <f t="shared" si="14"/>
        <v>17565.561242534492</v>
      </c>
      <c r="N55" s="3">
        <f t="shared" si="14"/>
        <v>16200.085302537613</v>
      </c>
      <c r="O55" s="3">
        <f t="shared" si="14"/>
        <v>14940.755959109223</v>
      </c>
      <c r="P55" s="3">
        <f t="shared" si="14"/>
        <v>13779.32180361366</v>
      </c>
      <c r="Q55" s="3">
        <f t="shared" si="14"/>
        <v>12708.172858668591</v>
      </c>
      <c r="R55" s="3">
        <f t="shared" si="14"/>
        <v>11720.290715864396</v>
      </c>
      <c r="S55" s="3">
        <f t="shared" si="14"/>
        <v>10809.202549576321</v>
      </c>
      <c r="T55" s="3">
        <f t="shared" si="14"/>
        <v>9968.9387055575389</v>
      </c>
      <c r="U55" s="3">
        <f t="shared" si="14"/>
        <v>9193.9935864240524</v>
      </c>
      <c r="V55" s="3">
        <f t="shared" si="14"/>
        <v>8479.2895777443809</v>
      </c>
      <c r="W55" s="3">
        <f t="shared" si="14"/>
        <v>7820.1437783696483</v>
      </c>
      <c r="X55" s="3">
        <f t="shared" si="14"/>
        <v>7212.2373170137171</v>
      </c>
      <c r="Y55" s="3">
        <f t="shared" si="14"/>
        <v>6651.5870540387486</v>
      </c>
    </row>
    <row r="56" spans="1:26" x14ac:dyDescent="0.25">
      <c r="A56" s="78" t="s">
        <v>172</v>
      </c>
      <c r="B56" s="78"/>
      <c r="C56" s="78"/>
      <c r="D56" s="78"/>
      <c r="F56" s="3">
        <f t="shared" ref="F56:Y56" si="15">IF(F9&lt;&gt;"",E56+F55,"")</f>
        <v>30951.032088623269</v>
      </c>
      <c r="G56" s="3">
        <f t="shared" si="15"/>
        <v>59496.055678483172</v>
      </c>
      <c r="H56" s="3">
        <f t="shared" si="15"/>
        <v>85822.104173814703</v>
      </c>
      <c r="I56" s="3">
        <f t="shared" si="15"/>
        <v>110101.67175577124</v>
      </c>
      <c r="J56" s="3">
        <f t="shared" si="15"/>
        <v>132493.84360303241</v>
      </c>
      <c r="K56" s="3">
        <f t="shared" si="15"/>
        <v>153145.33825361673</v>
      </c>
      <c r="L56" s="3">
        <f t="shared" si="15"/>
        <v>172191.46893768778</v>
      </c>
      <c r="M56" s="3">
        <f t="shared" si="15"/>
        <v>189757.03018022227</v>
      </c>
      <c r="N56" s="3">
        <f t="shared" si="15"/>
        <v>205957.11548275989</v>
      </c>
      <c r="O56" s="3">
        <f t="shared" si="15"/>
        <v>220897.87144186912</v>
      </c>
      <c r="P56" s="3">
        <f t="shared" si="15"/>
        <v>234677.19324548278</v>
      </c>
      <c r="Q56" s="3">
        <f t="shared" si="15"/>
        <v>247385.36610415136</v>
      </c>
      <c r="R56" s="3">
        <f t="shared" si="15"/>
        <v>259105.65682001575</v>
      </c>
      <c r="S56" s="3">
        <f t="shared" si="15"/>
        <v>269914.85936959204</v>
      </c>
      <c r="T56" s="3">
        <f t="shared" si="15"/>
        <v>279883.79807514959</v>
      </c>
      <c r="U56" s="3">
        <f t="shared" si="15"/>
        <v>289077.79166157363</v>
      </c>
      <c r="V56" s="3">
        <f t="shared" si="15"/>
        <v>297557.08123931801</v>
      </c>
      <c r="W56" s="3">
        <f t="shared" si="15"/>
        <v>305377.22501768766</v>
      </c>
      <c r="X56" s="3">
        <f t="shared" si="15"/>
        <v>312589.46233470138</v>
      </c>
      <c r="Y56" s="3">
        <f t="shared" si="15"/>
        <v>319241.04938874015</v>
      </c>
    </row>
    <row r="57" spans="1:26" x14ac:dyDescent="0.25">
      <c r="A57" s="78" t="s">
        <v>173</v>
      </c>
      <c r="B57" s="78"/>
      <c r="C57" s="78"/>
      <c r="D57" s="78"/>
      <c r="F57" s="3">
        <f t="shared" ref="F57:Y57" si="16">IF(F9&lt;&gt;"",F56+F53,"")</f>
        <v>-136876.53793832421</v>
      </c>
      <c r="G57" s="3">
        <f t="shared" si="16"/>
        <v>-130306.82510904669</v>
      </c>
      <c r="H57" s="3">
        <f t="shared" si="16"/>
        <v>-124247.81527850655</v>
      </c>
      <c r="I57" s="3">
        <f t="shared" si="16"/>
        <v>-118659.80845376695</v>
      </c>
      <c r="J57" s="3">
        <f t="shared" si="16"/>
        <v>-113506.19075934697</v>
      </c>
      <c r="K57" s="3">
        <f t="shared" si="16"/>
        <v>-108753.19453488788</v>
      </c>
      <c r="L57" s="3">
        <f t="shared" si="16"/>
        <v>-104369.67708186022</v>
      </c>
      <c r="M57" s="3">
        <f t="shared" si="16"/>
        <v>-100326.91660960994</v>
      </c>
      <c r="N57" s="3">
        <f t="shared" si="16"/>
        <v>-87949.992578635865</v>
      </c>
      <c r="O57" s="3">
        <f t="shared" si="16"/>
        <v>-76535.200741567474</v>
      </c>
      <c r="P57" s="3">
        <f t="shared" si="16"/>
        <v>-66007.748819141096</v>
      </c>
      <c r="Q57" s="3">
        <f t="shared" si="16"/>
        <v>-56298.65858246258</v>
      </c>
      <c r="R57" s="3">
        <f t="shared" si="16"/>
        <v>-47344.313892162638</v>
      </c>
      <c r="S57" s="3">
        <f t="shared" si="16"/>
        <v>-39086.043871167116</v>
      </c>
      <c r="T57" s="3">
        <f t="shared" si="16"/>
        <v>-31469.738479935913</v>
      </c>
      <c r="U57" s="3">
        <f t="shared" si="16"/>
        <v>-24445.493975333928</v>
      </c>
      <c r="V57" s="3">
        <f t="shared" si="16"/>
        <v>-17967.285930100188</v>
      </c>
      <c r="W57" s="3">
        <f t="shared" si="16"/>
        <v>-11992.667670465831</v>
      </c>
      <c r="X57" s="3">
        <f t="shared" si="16"/>
        <v>-6482.4921560164075</v>
      </c>
      <c r="Y57" s="3">
        <f t="shared" si="16"/>
        <v>-1400.6554794926778</v>
      </c>
    </row>
    <row r="58" spans="1:26" x14ac:dyDescent="0.25">
      <c r="A58" s="41" t="s">
        <v>174</v>
      </c>
      <c r="B58" s="41"/>
      <c r="C58" s="41"/>
      <c r="D58" s="4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78" t="s">
        <v>123</v>
      </c>
      <c r="B60" s="78"/>
      <c r="C60" s="78"/>
      <c r="D60" s="78"/>
      <c r="E60" s="3">
        <f t="shared" ref="E60:Y60" si="17">IF(E9="",D60,-E53)</f>
        <v>144000</v>
      </c>
      <c r="F60" s="3">
        <f t="shared" si="17"/>
        <v>167827.57002694748</v>
      </c>
      <c r="G60" s="3">
        <f t="shared" si="17"/>
        <v>189802.88078752987</v>
      </c>
      <c r="H60" s="3">
        <f t="shared" si="17"/>
        <v>210069.91945232125</v>
      </c>
      <c r="I60" s="3">
        <f t="shared" si="17"/>
        <v>228761.48020953819</v>
      </c>
      <c r="J60" s="3">
        <f t="shared" si="17"/>
        <v>246000.03436237937</v>
      </c>
      <c r="K60" s="3">
        <f t="shared" si="17"/>
        <v>261898.53278850461</v>
      </c>
      <c r="L60" s="3">
        <f t="shared" si="17"/>
        <v>276561.146019548</v>
      </c>
      <c r="M60" s="3">
        <f t="shared" si="17"/>
        <v>290083.9467898322</v>
      </c>
      <c r="N60" s="3">
        <f t="shared" si="17"/>
        <v>293907.10806139576</v>
      </c>
      <c r="O60" s="3">
        <f t="shared" si="17"/>
        <v>297433.0721834366</v>
      </c>
      <c r="P60" s="3">
        <f t="shared" si="17"/>
        <v>300684.94206462387</v>
      </c>
      <c r="Q60" s="3">
        <f t="shared" si="17"/>
        <v>303684.02468661394</v>
      </c>
      <c r="R60" s="3">
        <f t="shared" si="17"/>
        <v>306449.97071217839</v>
      </c>
      <c r="S60" s="3">
        <f t="shared" si="17"/>
        <v>309000.90324075916</v>
      </c>
      <c r="T60" s="3">
        <f t="shared" si="17"/>
        <v>311353.53655508551</v>
      </c>
      <c r="U60" s="3">
        <f t="shared" si="17"/>
        <v>313523.28563690756</v>
      </c>
      <c r="V60" s="3">
        <f t="shared" si="17"/>
        <v>315524.3671694182</v>
      </c>
      <c r="W60" s="3">
        <f t="shared" si="17"/>
        <v>317369.89268815349</v>
      </c>
      <c r="X60" s="3">
        <f t="shared" si="17"/>
        <v>319071.95449071779</v>
      </c>
      <c r="Y60" s="3">
        <f t="shared" si="17"/>
        <v>320641.70486823283</v>
      </c>
    </row>
    <row r="61" spans="1:26" x14ac:dyDescent="0.25">
      <c r="A61" s="78" t="s">
        <v>124</v>
      </c>
      <c r="B61" s="78"/>
      <c r="C61" s="78"/>
      <c r="D61" s="78"/>
      <c r="F61" s="3">
        <f t="shared" ref="F61:Y61" si="18">IF(F9="",E61,F56)</f>
        <v>30951.032088623269</v>
      </c>
      <c r="G61" s="3">
        <f t="shared" si="18"/>
        <v>59496.055678483172</v>
      </c>
      <c r="H61" s="3">
        <f t="shared" si="18"/>
        <v>85822.104173814703</v>
      </c>
      <c r="I61" s="3">
        <f t="shared" si="18"/>
        <v>110101.67175577124</v>
      </c>
      <c r="J61" s="3">
        <f t="shared" si="18"/>
        <v>132493.84360303241</v>
      </c>
      <c r="K61" s="3">
        <f t="shared" si="18"/>
        <v>153145.33825361673</v>
      </c>
      <c r="L61" s="3">
        <f t="shared" si="18"/>
        <v>172191.46893768778</v>
      </c>
      <c r="M61" s="3">
        <f t="shared" si="18"/>
        <v>189757.03018022227</v>
      </c>
      <c r="N61" s="3">
        <f t="shared" si="18"/>
        <v>205957.11548275989</v>
      </c>
      <c r="O61" s="3">
        <f t="shared" si="18"/>
        <v>220897.87144186912</v>
      </c>
      <c r="P61" s="3">
        <f t="shared" si="18"/>
        <v>234677.19324548278</v>
      </c>
      <c r="Q61" s="3">
        <f t="shared" si="18"/>
        <v>247385.36610415136</v>
      </c>
      <c r="R61" s="3">
        <f t="shared" si="18"/>
        <v>259105.65682001575</v>
      </c>
      <c r="S61" s="3">
        <f t="shared" si="18"/>
        <v>269914.85936959204</v>
      </c>
      <c r="T61" s="3">
        <f t="shared" si="18"/>
        <v>279883.79807514959</v>
      </c>
      <c r="U61" s="3">
        <f t="shared" si="18"/>
        <v>289077.79166157363</v>
      </c>
      <c r="V61" s="3">
        <f t="shared" si="18"/>
        <v>297557.08123931801</v>
      </c>
      <c r="W61" s="3">
        <f t="shared" si="18"/>
        <v>305377.22501768766</v>
      </c>
      <c r="X61" s="3">
        <f t="shared" si="18"/>
        <v>312589.46233470138</v>
      </c>
      <c r="Y61" s="3">
        <f t="shared" si="18"/>
        <v>319241.04938874015</v>
      </c>
    </row>
  </sheetData>
  <sheetProtection selectLockedCells="1"/>
  <mergeCells count="35">
    <mergeCell ref="A18:D18"/>
    <mergeCell ref="F3:I3"/>
    <mergeCell ref="A7:D7"/>
    <mergeCell ref="I7:J7"/>
    <mergeCell ref="N7:O7"/>
    <mergeCell ref="A9:D9"/>
    <mergeCell ref="A11:D11"/>
    <mergeCell ref="A12:D12"/>
    <mergeCell ref="A13:D13"/>
    <mergeCell ref="A14:D14"/>
    <mergeCell ref="A15:D15"/>
    <mergeCell ref="A17:D17"/>
    <mergeCell ref="A34:D34"/>
    <mergeCell ref="A20:D20"/>
    <mergeCell ref="A21:D21"/>
    <mergeCell ref="A22:D22"/>
    <mergeCell ref="A23:D23"/>
    <mergeCell ref="A25:D25"/>
    <mergeCell ref="A26:D26"/>
    <mergeCell ref="A56:D56"/>
    <mergeCell ref="A57:D57"/>
    <mergeCell ref="A60:D60"/>
    <mergeCell ref="A61:D61"/>
    <mergeCell ref="A19:D19"/>
    <mergeCell ref="A35:D35"/>
    <mergeCell ref="A51:D51"/>
    <mergeCell ref="A52:D52"/>
    <mergeCell ref="A53:D53"/>
    <mergeCell ref="A54:D54"/>
    <mergeCell ref="A55:D55"/>
    <mergeCell ref="A27:D27"/>
    <mergeCell ref="A28:D28"/>
    <mergeCell ref="A29:D29"/>
    <mergeCell ref="A32:D32"/>
    <mergeCell ref="A33:D33"/>
  </mergeCells>
  <dataValidations disablePrompts="1" count="2">
    <dataValidation allowBlank="1" showInputMessage="1" showErrorMessage="1" promptTitle="CashFlow" prompt="Ne obuhvata amortizaciju, ali obuhvata otplatu glavnice." sqref="A37"/>
    <dataValidation allowBlank="1" showInputMessage="1" showErrorMessage="1" promptTitle="BrutoDobit" prompt="Bruto dobit prema Bilansu uspeha, ne obuhvata otplatu glavice." sqref="A32:D32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L30" sqref="L30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ht="15" customHeight="1" x14ac:dyDescent="0.25">
      <c r="A7" s="69" t="s">
        <v>128</v>
      </c>
      <c r="B7" s="69"/>
      <c r="C7" s="69"/>
      <c r="D7" s="69"/>
    </row>
    <row r="8" spans="1:9" ht="15" customHeight="1" x14ac:dyDescent="0.25">
      <c r="A8" s="69"/>
      <c r="B8" s="69"/>
      <c r="C8" s="69"/>
      <c r="D8" s="69"/>
    </row>
    <row r="9" spans="1:9" x14ac:dyDescent="0.25">
      <c r="A9" s="69"/>
      <c r="B9" s="69"/>
      <c r="C9" s="69"/>
      <c r="D9" s="69"/>
    </row>
    <row r="11" spans="1:9" x14ac:dyDescent="0.25">
      <c r="A11" s="71" t="s">
        <v>138</v>
      </c>
      <c r="B11" s="71"/>
      <c r="C11" s="72" t="s">
        <v>139</v>
      </c>
      <c r="D11" s="72"/>
    </row>
    <row r="12" spans="1:9" x14ac:dyDescent="0.25">
      <c r="A12" s="71"/>
      <c r="B12" s="71"/>
      <c r="C12" s="72"/>
      <c r="D12" s="7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</vt:i4>
      </vt:variant>
    </vt:vector>
  </HeadingPairs>
  <TitlesOfParts>
    <vt:vector size="22" baseType="lpstr">
      <vt:lpstr>Pocetna</vt:lpstr>
      <vt:lpstr>KonvFaktor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Equity</vt:lpstr>
      <vt:lpstr>Investment</vt:lpstr>
      <vt:lpstr>LCoE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2023-07-17T05:53:42Z</dcterms:modified>
</cp:coreProperties>
</file>