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9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showInkAnnotation="0" codeName="ThisWorkbook"/>
  <mc:AlternateContent xmlns:mc="http://schemas.openxmlformats.org/markup-compatibility/2006">
    <mc:Choice Requires="x15">
      <x15ac:absPath xmlns:x15ac="http://schemas.microsoft.com/office/spreadsheetml/2010/11/ac" url="C:\Users\Miroslav\OneDrive\Documents\Organizacije\Kroka\Radionica\"/>
    </mc:Choice>
  </mc:AlternateContent>
  <xr:revisionPtr revIDLastSave="0" documentId="13_ncr:1_{4178B41E-98EF-411E-8C00-D65552CDF88F}" xr6:coauthVersionLast="47" xr6:coauthVersionMax="47" xr10:uidLastSave="{00000000-0000-0000-0000-000000000000}"/>
  <bookViews>
    <workbookView xWindow="-120" yWindow="-120" windowWidth="29040" windowHeight="15840" firstSheet="2" activeTab="6" xr2:uid="{00000000-000D-0000-FFFF-FFFF00000000}"/>
  </bookViews>
  <sheets>
    <sheet name="Pocetna" sheetId="1" r:id="rId1"/>
    <sheet name="PomTab1" sheetId="4" r:id="rId2"/>
    <sheet name="UnosPodataka" sheetId="2" r:id="rId3"/>
    <sheet name="Ustede" sheetId="5" r:id="rId4"/>
    <sheet name="Anuiteti" sheetId="6" r:id="rId5"/>
    <sheet name="FinaIndicators" sheetId="7" r:id="rId6"/>
    <sheet name="FinInd+CO2" sheetId="17" r:id="rId7"/>
    <sheet name="GraphFina" sheetId="10" r:id="rId8"/>
    <sheet name="Graf+CO2" sheetId="11" r:id="rId9"/>
    <sheet name="LCoEE" sheetId="12" r:id="rId10"/>
    <sheet name="Osetljivost" sheetId="13" r:id="rId11"/>
    <sheet name="AkoESCO" sheetId="14" r:id="rId12"/>
    <sheet name="ESCOGrafFina" sheetId="15" r:id="rId13"/>
    <sheet name="REZIME" sheetId="16" r:id="rId14"/>
  </sheets>
  <definedNames>
    <definedName name="CARBON">UnosPodataka!$M$13</definedName>
    <definedName name="Equity">UnosPodataka!$F$26</definedName>
    <definedName name="FIRR" localSheetId="6">'FinInd+CO2'!#REF!</definedName>
    <definedName name="FIRR">FinaIndicators!#REF!</definedName>
    <definedName name="FNPV" localSheetId="6">'FinInd+CO2'!#REF!</definedName>
    <definedName name="FNPV">FinaIndicators!#REF!</definedName>
    <definedName name="InfRate" comment="Inflacija">0</definedName>
    <definedName name="Investment">UnosPodataka!$F$19</definedName>
    <definedName name="Kurs_EUR" comment="Obračunski kurs EUR na dan 19-5-2022">117.489</definedName>
    <definedName name="LCoE">LCoEE!$E$19</definedName>
    <definedName name="LOAN">UnosPodataka!$F$29</definedName>
    <definedName name="PDV" comment="Porez na dodatu vrednost (opšti)">0.2</definedName>
    <definedName name="PDVG" comment="Porez na dodatu vrednost usluga grejanja">0.1</definedName>
    <definedName name="PROJEKAT">Pocetna!$M$12</definedName>
    <definedName name="VAT" comment="Porez na poslovanje kompanije">0.15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4" i="17" l="1"/>
  <c r="I24" i="17"/>
  <c r="J24" i="17"/>
  <c r="K24" i="17"/>
  <c r="L24" i="17"/>
  <c r="M24" i="17"/>
  <c r="N24" i="17"/>
  <c r="O24" i="17"/>
  <c r="P24" i="17"/>
  <c r="Q24" i="17"/>
  <c r="R24" i="17"/>
  <c r="S24" i="17"/>
  <c r="T24" i="17"/>
  <c r="U24" i="17"/>
  <c r="V24" i="17"/>
  <c r="W24" i="17"/>
  <c r="X24" i="17"/>
  <c r="Y24" i="17"/>
  <c r="G24" i="17"/>
  <c r="F24" i="17"/>
  <c r="H23" i="7"/>
  <c r="I23" i="7"/>
  <c r="J23" i="7"/>
  <c r="K23" i="7"/>
  <c r="L23" i="7"/>
  <c r="M23" i="7"/>
  <c r="N23" i="7"/>
  <c r="O23" i="7"/>
  <c r="P23" i="7"/>
  <c r="Q23" i="7"/>
  <c r="R23" i="7"/>
  <c r="S23" i="7"/>
  <c r="T23" i="7"/>
  <c r="U23" i="7"/>
  <c r="V23" i="7"/>
  <c r="W23" i="7"/>
  <c r="X23" i="7"/>
  <c r="Y23" i="7"/>
  <c r="G23" i="7"/>
  <c r="F23" i="7"/>
  <c r="F19" i="2"/>
  <c r="F25" i="17"/>
  <c r="F15" i="17"/>
  <c r="E13" i="17"/>
  <c r="E12" i="17"/>
  <c r="G9" i="17"/>
  <c r="G25" i="17" l="1"/>
  <c r="G15" i="17"/>
  <c r="H9" i="17"/>
  <c r="E13" i="7"/>
  <c r="H15" i="17" l="1"/>
  <c r="I9" i="17"/>
  <c r="H25" i="17"/>
  <c r="K24" i="4"/>
  <c r="K22" i="4"/>
  <c r="J9" i="17" l="1"/>
  <c r="I25" i="17"/>
  <c r="I15" i="17"/>
  <c r="E12" i="16"/>
  <c r="E11" i="16"/>
  <c r="E9" i="16"/>
  <c r="J25" i="17" l="1"/>
  <c r="J15" i="17"/>
  <c r="K9" i="17"/>
  <c r="F10" i="14"/>
  <c r="G10" i="14" s="1"/>
  <c r="H10" i="14" s="1"/>
  <c r="I10" i="14" s="1"/>
  <c r="J10" i="14" s="1"/>
  <c r="K10" i="14" s="1"/>
  <c r="L10" i="14" s="1"/>
  <c r="M10" i="14" s="1"/>
  <c r="N10" i="14" s="1"/>
  <c r="O10" i="14" s="1"/>
  <c r="P10" i="14" s="1"/>
  <c r="Q10" i="14" s="1"/>
  <c r="R10" i="14" s="1"/>
  <c r="S10" i="14" s="1"/>
  <c r="T10" i="14" s="1"/>
  <c r="U10" i="14" s="1"/>
  <c r="V10" i="14" s="1"/>
  <c r="W10" i="14" s="1"/>
  <c r="X10" i="14" s="1"/>
  <c r="Y10" i="14" s="1"/>
  <c r="K25" i="17" l="1"/>
  <c r="K15" i="17"/>
  <c r="L9" i="17"/>
  <c r="F25" i="7"/>
  <c r="F10" i="12"/>
  <c r="F15" i="7"/>
  <c r="G9" i="7"/>
  <c r="E12" i="7"/>
  <c r="F19" i="5"/>
  <c r="E10" i="16" l="1"/>
  <c r="F26" i="17"/>
  <c r="F26" i="7"/>
  <c r="F27" i="17"/>
  <c r="G26" i="17"/>
  <c r="G27" i="17"/>
  <c r="H27" i="17"/>
  <c r="H26" i="17"/>
  <c r="I26" i="17"/>
  <c r="I27" i="17"/>
  <c r="J26" i="17"/>
  <c r="J27" i="17"/>
  <c r="K26" i="17"/>
  <c r="K27" i="17"/>
  <c r="F20" i="5"/>
  <c r="I18" i="17" s="1"/>
  <c r="F14" i="17"/>
  <c r="F19" i="17" s="1"/>
  <c r="G14" i="17"/>
  <c r="G19" i="17" s="1"/>
  <c r="H14" i="17"/>
  <c r="H19" i="17" s="1"/>
  <c r="I14" i="17"/>
  <c r="I19" i="17" s="1"/>
  <c r="J14" i="17"/>
  <c r="J19" i="17" s="1"/>
  <c r="K14" i="17"/>
  <c r="K19" i="17" s="1"/>
  <c r="L26" i="17"/>
  <c r="L14" i="17"/>
  <c r="L19" i="17" s="1"/>
  <c r="L27" i="17"/>
  <c r="L15" i="17"/>
  <c r="M9" i="17"/>
  <c r="L25" i="17"/>
  <c r="G26" i="7"/>
  <c r="F14" i="7"/>
  <c r="F16" i="12" s="1"/>
  <c r="F17" i="12" s="1"/>
  <c r="F12" i="12"/>
  <c r="G10" i="12"/>
  <c r="H10" i="12" s="1"/>
  <c r="I10" i="12" s="1"/>
  <c r="J10" i="12" s="1"/>
  <c r="K10" i="12" s="1"/>
  <c r="L10" i="12" s="1"/>
  <c r="M10" i="12" s="1"/>
  <c r="N10" i="12" s="1"/>
  <c r="O10" i="12" s="1"/>
  <c r="P10" i="12" s="1"/>
  <c r="Q10" i="12" s="1"/>
  <c r="R10" i="12" s="1"/>
  <c r="S10" i="12" s="1"/>
  <c r="T10" i="12" s="1"/>
  <c r="U10" i="12" s="1"/>
  <c r="V10" i="12" s="1"/>
  <c r="W10" i="12" s="1"/>
  <c r="X10" i="12" s="1"/>
  <c r="Y10" i="12" s="1"/>
  <c r="G25" i="7"/>
  <c r="H9" i="7"/>
  <c r="G14" i="7"/>
  <c r="G15" i="7"/>
  <c r="L18" i="17" l="1"/>
  <c r="L20" i="17" s="1"/>
  <c r="L54" i="17" s="1"/>
  <c r="G18" i="7"/>
  <c r="G27" i="7" s="1"/>
  <c r="G12" i="14" s="1"/>
  <c r="G13" i="14" s="1"/>
  <c r="H18" i="17"/>
  <c r="H20" i="17" s="1"/>
  <c r="G18" i="17"/>
  <c r="G28" i="17" s="1"/>
  <c r="K18" i="17"/>
  <c r="K20" i="17" s="1"/>
  <c r="F18" i="17"/>
  <c r="F28" i="17" s="1"/>
  <c r="J18" i="17"/>
  <c r="J28" i="17" s="1"/>
  <c r="F18" i="7"/>
  <c r="F27" i="7" s="1"/>
  <c r="F12" i="14" s="1"/>
  <c r="F13" i="14" s="1"/>
  <c r="I20" i="17"/>
  <c r="L28" i="17"/>
  <c r="N9" i="17"/>
  <c r="M27" i="17"/>
  <c r="M15" i="17"/>
  <c r="M18" i="17"/>
  <c r="M25" i="17"/>
  <c r="M26" i="17"/>
  <c r="M14" i="17"/>
  <c r="M19" i="17" s="1"/>
  <c r="I28" i="17"/>
  <c r="H26" i="7"/>
  <c r="G16" i="12"/>
  <c r="G17" i="12" s="1"/>
  <c r="I9" i="7"/>
  <c r="H25" i="7"/>
  <c r="H18" i="7"/>
  <c r="H27" i="7" s="1"/>
  <c r="H12" i="14" s="1"/>
  <c r="H15" i="7"/>
  <c r="H14" i="7"/>
  <c r="H16" i="12" s="1"/>
  <c r="H17" i="12" s="1"/>
  <c r="F20" i="17" l="1"/>
  <c r="J20" i="17"/>
  <c r="G20" i="17"/>
  <c r="G54" i="17" s="1"/>
  <c r="K28" i="17"/>
  <c r="H28" i="17"/>
  <c r="M28" i="17"/>
  <c r="M20" i="17"/>
  <c r="F54" i="17"/>
  <c r="N18" i="17"/>
  <c r="N28" i="17" s="1"/>
  <c r="O9" i="17"/>
  <c r="N25" i="17"/>
  <c r="N26" i="17"/>
  <c r="N23" i="17"/>
  <c r="N14" i="17"/>
  <c r="N19" i="17" s="1"/>
  <c r="N27" i="17"/>
  <c r="N15" i="17"/>
  <c r="H54" i="17"/>
  <c r="I54" i="17"/>
  <c r="J54" i="17"/>
  <c r="K54" i="17"/>
  <c r="I26" i="7"/>
  <c r="H13" i="14"/>
  <c r="J9" i="7"/>
  <c r="I18" i="7"/>
  <c r="I27" i="7" s="1"/>
  <c r="I12" i="14" s="1"/>
  <c r="I14" i="7"/>
  <c r="I16" i="12" s="1"/>
  <c r="I17" i="12" s="1"/>
  <c r="I15" i="7"/>
  <c r="I25" i="7"/>
  <c r="N20" i="17" l="1"/>
  <c r="N54" i="17" s="1"/>
  <c r="N29" i="17"/>
  <c r="M54" i="17"/>
  <c r="O27" i="17"/>
  <c r="O26" i="17"/>
  <c r="O25" i="17"/>
  <c r="O23" i="17"/>
  <c r="O18" i="17"/>
  <c r="O15" i="17"/>
  <c r="O14" i="17"/>
  <c r="O19" i="17" s="1"/>
  <c r="P9" i="17"/>
  <c r="J26" i="7"/>
  <c r="I13" i="14"/>
  <c r="K9" i="7"/>
  <c r="J25" i="7"/>
  <c r="J18" i="7"/>
  <c r="J27" i="7" s="1"/>
  <c r="J12" i="14" s="1"/>
  <c r="J13" i="14" s="1"/>
  <c r="J15" i="7"/>
  <c r="J14" i="7"/>
  <c r="J16" i="12" s="1"/>
  <c r="J17" i="12" s="1"/>
  <c r="N32" i="17" l="1"/>
  <c r="N34" i="17" s="1"/>
  <c r="N35" i="17" s="1"/>
  <c r="N37" i="17" s="1"/>
  <c r="N51" i="17"/>
  <c r="O28" i="17"/>
  <c r="O29" i="17" s="1"/>
  <c r="O51" i="17" s="1"/>
  <c r="O20" i="17"/>
  <c r="O54" i="17" s="1"/>
  <c r="P25" i="17"/>
  <c r="P26" i="17"/>
  <c r="P23" i="17"/>
  <c r="P14" i="17"/>
  <c r="P19" i="17" s="1"/>
  <c r="P27" i="17"/>
  <c r="P15" i="17"/>
  <c r="Q9" i="17"/>
  <c r="P18" i="17"/>
  <c r="K26" i="7"/>
  <c r="L9" i="7"/>
  <c r="K25" i="7"/>
  <c r="K18" i="7"/>
  <c r="K27" i="7" s="1"/>
  <c r="K12" i="14" s="1"/>
  <c r="K13" i="14" s="1"/>
  <c r="K15" i="7"/>
  <c r="K14" i="7"/>
  <c r="K16" i="12" s="1"/>
  <c r="K17" i="12" s="1"/>
  <c r="N31" i="17" l="1"/>
  <c r="P28" i="17"/>
  <c r="P29" i="17" s="1"/>
  <c r="P20" i="17"/>
  <c r="P54" i="17" s="1"/>
  <c r="O32" i="17"/>
  <c r="O34" i="17" s="1"/>
  <c r="O31" i="17" s="1"/>
  <c r="R9" i="17"/>
  <c r="Q26" i="17"/>
  <c r="Q23" i="17"/>
  <c r="Q14" i="17"/>
  <c r="Q19" i="17" s="1"/>
  <c r="Q27" i="17"/>
  <c r="Q15" i="17"/>
  <c r="Q18" i="17"/>
  <c r="Q25" i="17"/>
  <c r="L26" i="7"/>
  <c r="M9" i="7"/>
  <c r="L25" i="7"/>
  <c r="L18" i="7"/>
  <c r="L27" i="7" s="1"/>
  <c r="L12" i="14" s="1"/>
  <c r="L13" i="14" s="1"/>
  <c r="L15" i="7"/>
  <c r="L14" i="7"/>
  <c r="L16" i="12" s="1"/>
  <c r="L17" i="12" s="1"/>
  <c r="Q28" i="17" l="1"/>
  <c r="Q29" i="17" s="1"/>
  <c r="Q51" i="17" s="1"/>
  <c r="Q20" i="17"/>
  <c r="O35" i="17"/>
  <c r="O37" i="17" s="1"/>
  <c r="P51" i="17"/>
  <c r="R27" i="17"/>
  <c r="R15" i="17"/>
  <c r="R18" i="17"/>
  <c r="S9" i="17"/>
  <c r="R25" i="17"/>
  <c r="R26" i="17"/>
  <c r="R23" i="17"/>
  <c r="R14" i="17"/>
  <c r="R19" i="17" s="1"/>
  <c r="P32" i="17"/>
  <c r="M26" i="7"/>
  <c r="N9" i="7"/>
  <c r="M25" i="7"/>
  <c r="M18" i="7"/>
  <c r="M27" i="7" s="1"/>
  <c r="M12" i="14" s="1"/>
  <c r="M13" i="14" s="1"/>
  <c r="M15" i="7"/>
  <c r="M14" i="7"/>
  <c r="M16" i="12" s="1"/>
  <c r="M17" i="12" s="1"/>
  <c r="R28" i="17" l="1"/>
  <c r="R29" i="17" s="1"/>
  <c r="R51" i="17" s="1"/>
  <c r="R20" i="17"/>
  <c r="R54" i="17" s="1"/>
  <c r="P34" i="17"/>
  <c r="P31" i="17" s="1"/>
  <c r="S27" i="17"/>
  <c r="S26" i="17"/>
  <c r="S25" i="17"/>
  <c r="S23" i="17"/>
  <c r="S18" i="17"/>
  <c r="S15" i="17"/>
  <c r="S14" i="17"/>
  <c r="S19" i="17" s="1"/>
  <c r="T9" i="17"/>
  <c r="Q32" i="17"/>
  <c r="Q54" i="17"/>
  <c r="N26" i="7"/>
  <c r="O9" i="7"/>
  <c r="N25" i="7"/>
  <c r="N18" i="7"/>
  <c r="N27" i="7" s="1"/>
  <c r="N12" i="14" s="1"/>
  <c r="N13" i="14" s="1"/>
  <c r="N15" i="7"/>
  <c r="N14" i="7"/>
  <c r="N16" i="12" s="1"/>
  <c r="N17" i="12" s="1"/>
  <c r="N22" i="7"/>
  <c r="S20" i="17" l="1"/>
  <c r="R32" i="17"/>
  <c r="R34" i="17" s="1"/>
  <c r="R31" i="17" s="1"/>
  <c r="S28" i="17"/>
  <c r="S29" i="17" s="1"/>
  <c r="P35" i="17"/>
  <c r="P37" i="17" s="1"/>
  <c r="S54" i="17"/>
  <c r="Q34" i="17"/>
  <c r="Q31" i="17" s="1"/>
  <c r="T18" i="17"/>
  <c r="T25" i="17"/>
  <c r="T26" i="17"/>
  <c r="T23" i="17"/>
  <c r="T14" i="17"/>
  <c r="T19" i="17" s="1"/>
  <c r="T27" i="17"/>
  <c r="T15" i="17"/>
  <c r="U9" i="17"/>
  <c r="O26" i="7"/>
  <c r="P9" i="7"/>
  <c r="O25" i="7"/>
  <c r="O22" i="7"/>
  <c r="O18" i="7"/>
  <c r="O27" i="7" s="1"/>
  <c r="O12" i="14" s="1"/>
  <c r="O13" i="14" s="1"/>
  <c r="O15" i="7"/>
  <c r="O14" i="7"/>
  <c r="O16" i="12" s="1"/>
  <c r="O17" i="12" s="1"/>
  <c r="T20" i="17" l="1"/>
  <c r="T54" i="17" s="1"/>
  <c r="R35" i="17"/>
  <c r="R37" i="17" s="1"/>
  <c r="S32" i="17"/>
  <c r="S34" i="17" s="1"/>
  <c r="S31" i="17" s="1"/>
  <c r="S51" i="17"/>
  <c r="T28" i="17"/>
  <c r="T29" i="17" s="1"/>
  <c r="V9" i="17"/>
  <c r="U25" i="17"/>
  <c r="U26" i="17"/>
  <c r="U23" i="17"/>
  <c r="U14" i="17"/>
  <c r="U19" i="17" s="1"/>
  <c r="U27" i="17"/>
  <c r="U15" i="17"/>
  <c r="U18" i="17"/>
  <c r="Q35" i="17"/>
  <c r="Q37" i="17" s="1"/>
  <c r="P26" i="7"/>
  <c r="Q9" i="7"/>
  <c r="P25" i="7"/>
  <c r="P22" i="7"/>
  <c r="P18" i="7"/>
  <c r="P27" i="7" s="1"/>
  <c r="P12" i="14" s="1"/>
  <c r="P13" i="14" s="1"/>
  <c r="P15" i="7"/>
  <c r="P14" i="7"/>
  <c r="P16" i="12" s="1"/>
  <c r="P17" i="12" s="1"/>
  <c r="U28" i="17" l="1"/>
  <c r="U29" i="17" s="1"/>
  <c r="U20" i="17"/>
  <c r="T51" i="17"/>
  <c r="T32" i="17"/>
  <c r="T34" i="17" s="1"/>
  <c r="T31" i="17" s="1"/>
  <c r="S35" i="17"/>
  <c r="S37" i="17" s="1"/>
  <c r="V26" i="17"/>
  <c r="V23" i="17"/>
  <c r="V14" i="17"/>
  <c r="V19" i="17" s="1"/>
  <c r="V27" i="17"/>
  <c r="V15" i="17"/>
  <c r="V18" i="17"/>
  <c r="W9" i="17"/>
  <c r="V25" i="17"/>
  <c r="Q26" i="7"/>
  <c r="R9" i="7"/>
  <c r="Q25" i="7"/>
  <c r="Q18" i="7"/>
  <c r="Q27" i="7" s="1"/>
  <c r="Q12" i="14" s="1"/>
  <c r="Q13" i="14" s="1"/>
  <c r="Q15" i="7"/>
  <c r="Q14" i="7"/>
  <c r="Q16" i="12" s="1"/>
  <c r="Q17" i="12" s="1"/>
  <c r="Q22" i="7"/>
  <c r="V28" i="17" l="1"/>
  <c r="V29" i="17" s="1"/>
  <c r="V20" i="17"/>
  <c r="V54" i="17" s="1"/>
  <c r="W27" i="17"/>
  <c r="W26" i="17"/>
  <c r="W25" i="17"/>
  <c r="W23" i="17"/>
  <c r="W18" i="17"/>
  <c r="W15" i="17"/>
  <c r="W14" i="17"/>
  <c r="W19" i="17" s="1"/>
  <c r="X9" i="17"/>
  <c r="U32" i="17"/>
  <c r="U54" i="17"/>
  <c r="T35" i="17"/>
  <c r="T37" i="17" s="1"/>
  <c r="U51" i="17"/>
  <c r="R26" i="7"/>
  <c r="S9" i="7"/>
  <c r="R25" i="7"/>
  <c r="R18" i="7"/>
  <c r="R27" i="7" s="1"/>
  <c r="R12" i="14" s="1"/>
  <c r="R13" i="14" s="1"/>
  <c r="R15" i="7"/>
  <c r="R14" i="7"/>
  <c r="R16" i="12" s="1"/>
  <c r="R17" i="12" s="1"/>
  <c r="R22" i="7"/>
  <c r="V32" i="17" l="1"/>
  <c r="V34" i="17" s="1"/>
  <c r="V31" i="17" s="1"/>
  <c r="W28" i="17"/>
  <c r="W29" i="17" s="1"/>
  <c r="W20" i="17"/>
  <c r="X27" i="17"/>
  <c r="X15" i="17"/>
  <c r="Y9" i="17"/>
  <c r="X18" i="17"/>
  <c r="X25" i="17"/>
  <c r="X26" i="17"/>
  <c r="X23" i="17"/>
  <c r="X14" i="17"/>
  <c r="X19" i="17" s="1"/>
  <c r="U34" i="17"/>
  <c r="U31" i="17" s="1"/>
  <c r="V51" i="17"/>
  <c r="S26" i="7"/>
  <c r="T9" i="7"/>
  <c r="S25" i="7"/>
  <c r="S22" i="7"/>
  <c r="S18" i="7"/>
  <c r="S27" i="7" s="1"/>
  <c r="S12" i="14" s="1"/>
  <c r="S13" i="14" s="1"/>
  <c r="S15" i="7"/>
  <c r="S14" i="7"/>
  <c r="S16" i="12" s="1"/>
  <c r="S17" i="12" s="1"/>
  <c r="V35" i="17" l="1"/>
  <c r="V37" i="17" s="1"/>
  <c r="X20" i="17"/>
  <c r="X54" i="17" s="1"/>
  <c r="X28" i="17"/>
  <c r="X29" i="17" s="1"/>
  <c r="U35" i="17"/>
  <c r="U37" i="17" s="1"/>
  <c r="Y18" i="17"/>
  <c r="Y25" i="17"/>
  <c r="Y26" i="17"/>
  <c r="Y23" i="17"/>
  <c r="Y14" i="17"/>
  <c r="Y19" i="17" s="1"/>
  <c r="Y27" i="17"/>
  <c r="Y15" i="17"/>
  <c r="W32" i="17"/>
  <c r="W54" i="17"/>
  <c r="W51" i="17"/>
  <c r="T26" i="7"/>
  <c r="U9" i="7"/>
  <c r="T25" i="7"/>
  <c r="T22" i="7"/>
  <c r="T18" i="7"/>
  <c r="T27" i="7" s="1"/>
  <c r="T12" i="14" s="1"/>
  <c r="T13" i="14" s="1"/>
  <c r="T15" i="7"/>
  <c r="T14" i="7"/>
  <c r="T16" i="12" s="1"/>
  <c r="T17" i="12" s="1"/>
  <c r="Y28" i="17" l="1"/>
  <c r="Y20" i="17"/>
  <c r="X51" i="17"/>
  <c r="X32" i="17"/>
  <c r="X34" i="17" s="1"/>
  <c r="X31" i="17" s="1"/>
  <c r="Y29" i="17"/>
  <c r="W34" i="17"/>
  <c r="W31" i="17" s="1"/>
  <c r="U26" i="7"/>
  <c r="V9" i="7"/>
  <c r="U22" i="7"/>
  <c r="U25" i="7"/>
  <c r="U18" i="7"/>
  <c r="U27" i="7" s="1"/>
  <c r="U12" i="14" s="1"/>
  <c r="U13" i="14" s="1"/>
  <c r="U15" i="7"/>
  <c r="U14" i="7"/>
  <c r="U16" i="12" s="1"/>
  <c r="U17" i="12" s="1"/>
  <c r="X35" i="17" l="1"/>
  <c r="X37" i="17" s="1"/>
  <c r="W35" i="17"/>
  <c r="W37" i="17" s="1"/>
  <c r="Y32" i="17"/>
  <c r="Y54" i="17"/>
  <c r="Y51" i="17"/>
  <c r="V26" i="7"/>
  <c r="W9" i="7"/>
  <c r="V25" i="7"/>
  <c r="V18" i="7"/>
  <c r="V27" i="7" s="1"/>
  <c r="V12" i="14" s="1"/>
  <c r="V13" i="14" s="1"/>
  <c r="V15" i="7"/>
  <c r="V14" i="7"/>
  <c r="V16" i="12" s="1"/>
  <c r="V17" i="12" s="1"/>
  <c r="V22" i="7"/>
  <c r="Y34" i="17" l="1"/>
  <c r="Y31" i="17" s="1"/>
  <c r="W26" i="7"/>
  <c r="X9" i="7"/>
  <c r="W25" i="7"/>
  <c r="W22" i="7"/>
  <c r="W18" i="7"/>
  <c r="W27" i="7" s="1"/>
  <c r="W12" i="14" s="1"/>
  <c r="W13" i="14" s="1"/>
  <c r="W15" i="7"/>
  <c r="W14" i="7"/>
  <c r="W16" i="12" s="1"/>
  <c r="W17" i="12" s="1"/>
  <c r="Y35" i="17" l="1"/>
  <c r="Y37" i="17" s="1"/>
  <c r="X26" i="7"/>
  <c r="Y9" i="7"/>
  <c r="X25" i="7"/>
  <c r="X22" i="7"/>
  <c r="X18" i="7"/>
  <c r="X27" i="7" s="1"/>
  <c r="X12" i="14" s="1"/>
  <c r="X15" i="7"/>
  <c r="X14" i="7"/>
  <c r="X16" i="12" s="1"/>
  <c r="X17" i="12" s="1"/>
  <c r="Y26" i="7" l="1"/>
  <c r="X13" i="14"/>
  <c r="E15" i="14"/>
  <c r="Y18" i="7"/>
  <c r="Y27" i="7" s="1"/>
  <c r="Y12" i="14" s="1"/>
  <c r="Y13" i="14" s="1"/>
  <c r="Y14" i="7"/>
  <c r="Y16" i="12" s="1"/>
  <c r="Y17" i="12" s="1"/>
  <c r="Y25" i="7"/>
  <c r="Y22" i="7"/>
  <c r="Y15" i="7"/>
  <c r="F24" i="7" l="1"/>
  <c r="B14" i="6"/>
  <c r="B15" i="6" s="1"/>
  <c r="B16" i="6" s="1"/>
  <c r="B17" i="6" s="1"/>
  <c r="B18" i="6" s="1"/>
  <c r="B19" i="6" s="1"/>
  <c r="B20" i="6" s="1"/>
  <c r="B21" i="6" s="1"/>
  <c r="B22" i="6" s="1"/>
  <c r="B23" i="6" s="1"/>
  <c r="B24" i="6" s="1"/>
  <c r="B25" i="6" s="1"/>
  <c r="B26" i="6" s="1"/>
  <c r="B27" i="6" s="1"/>
  <c r="B28" i="6" s="1"/>
  <c r="B29" i="6" s="1"/>
  <c r="B30" i="6" s="1"/>
  <c r="B31" i="6" s="1"/>
  <c r="B32" i="6" s="1"/>
  <c r="G24" i="7" l="1"/>
  <c r="H24" i="7" l="1"/>
  <c r="I24" i="7" l="1"/>
  <c r="J24" i="7" l="1"/>
  <c r="K24" i="7" l="1"/>
  <c r="L24" i="7" l="1"/>
  <c r="M24" i="7" l="1"/>
  <c r="N24" i="7" l="1"/>
  <c r="N28" i="7" s="1"/>
  <c r="O24" i="7" l="1"/>
  <c r="O28" i="7" s="1"/>
  <c r="P24" i="7" l="1"/>
  <c r="P28" i="7" s="1"/>
  <c r="Q24" i="7" l="1"/>
  <c r="Q28" i="7" s="1"/>
  <c r="R19" i="7" l="1"/>
  <c r="R24" i="7"/>
  <c r="R28" i="7" s="1"/>
  <c r="O19" i="7"/>
  <c r="J19" i="7"/>
  <c r="K19" i="7"/>
  <c r="G19" i="7"/>
  <c r="Q19" i="7"/>
  <c r="P19" i="7"/>
  <c r="F19" i="7"/>
  <c r="M19" i="7"/>
  <c r="L19" i="7"/>
  <c r="N19" i="7"/>
  <c r="I19" i="7"/>
  <c r="H19" i="7"/>
  <c r="F27" i="2"/>
  <c r="B25" i="4"/>
  <c r="N53" i="7" l="1"/>
  <c r="N31" i="7"/>
  <c r="P53" i="7"/>
  <c r="P31" i="7"/>
  <c r="L53" i="7"/>
  <c r="O53" i="7"/>
  <c r="O31" i="7"/>
  <c r="H53" i="7"/>
  <c r="G53" i="7"/>
  <c r="J53" i="7"/>
  <c r="Q53" i="7"/>
  <c r="Q31" i="7"/>
  <c r="M53" i="7"/>
  <c r="I53" i="7"/>
  <c r="F53" i="7"/>
  <c r="K53" i="7"/>
  <c r="R31" i="7"/>
  <c r="R53" i="7"/>
  <c r="S24" i="7"/>
  <c r="S28" i="7" s="1"/>
  <c r="F29" i="2"/>
  <c r="E11" i="17" s="1"/>
  <c r="E37" i="17" l="1"/>
  <c r="E38" i="17" s="1"/>
  <c r="E51" i="17"/>
  <c r="E31" i="17"/>
  <c r="O33" i="7"/>
  <c r="O13" i="12" s="1"/>
  <c r="N33" i="7"/>
  <c r="N13" i="12" s="1"/>
  <c r="Q33" i="7"/>
  <c r="Q13" i="12" s="1"/>
  <c r="P33" i="7"/>
  <c r="P13" i="12" s="1"/>
  <c r="R33" i="7"/>
  <c r="R13" i="12" s="1"/>
  <c r="E13" i="16"/>
  <c r="K23" i="4"/>
  <c r="K25" i="4" s="1"/>
  <c r="L25" i="4" s="1"/>
  <c r="E9" i="6"/>
  <c r="E11" i="7"/>
  <c r="S19" i="7"/>
  <c r="S31" i="7" s="1"/>
  <c r="T19" i="7"/>
  <c r="T24" i="7"/>
  <c r="T28" i="7" s="1"/>
  <c r="E40" i="17" l="1"/>
  <c r="E39" i="7"/>
  <c r="E30" i="7"/>
  <c r="E36" i="7"/>
  <c r="E50" i="7"/>
  <c r="R34" i="7"/>
  <c r="R36" i="7" s="1"/>
  <c r="R30" i="7"/>
  <c r="O34" i="7"/>
  <c r="O36" i="7" s="1"/>
  <c r="O30" i="7"/>
  <c r="P34" i="7"/>
  <c r="P36" i="7" s="1"/>
  <c r="P30" i="7"/>
  <c r="N34" i="7"/>
  <c r="N36" i="7" s="1"/>
  <c r="N30" i="7"/>
  <c r="Q34" i="7"/>
  <c r="Q36" i="7" s="1"/>
  <c r="Q30" i="7"/>
  <c r="S33" i="7"/>
  <c r="S13" i="12" s="1"/>
  <c r="T31" i="7"/>
  <c r="T53" i="7"/>
  <c r="S53" i="7"/>
  <c r="U24" i="7"/>
  <c r="U28" i="7" s="1"/>
  <c r="T54" i="7" l="1"/>
  <c r="Q40" i="7"/>
  <c r="S54" i="7"/>
  <c r="P40" i="7"/>
  <c r="R40" i="7"/>
  <c r="N40" i="7"/>
  <c r="O40" i="7"/>
  <c r="E40" i="7"/>
  <c r="E41" i="7" s="1"/>
  <c r="E37" i="7"/>
  <c r="R54" i="7"/>
  <c r="M54" i="7"/>
  <c r="K54" i="7"/>
  <c r="F54" i="7"/>
  <c r="F55" i="7" s="1"/>
  <c r="I54" i="7"/>
  <c r="G54" i="7"/>
  <c r="H54" i="7"/>
  <c r="Q54" i="7"/>
  <c r="J54" i="7"/>
  <c r="L54" i="7"/>
  <c r="P54" i="7"/>
  <c r="O54" i="7"/>
  <c r="N54" i="7"/>
  <c r="E51" i="7"/>
  <c r="E52" i="7" s="1"/>
  <c r="E41" i="17"/>
  <c r="E42" i="17" s="1"/>
  <c r="E52" i="17"/>
  <c r="E53" i="17" s="1"/>
  <c r="E60" i="17" s="1"/>
  <c r="L55" i="17"/>
  <c r="N55" i="17"/>
  <c r="I55" i="17"/>
  <c r="K55" i="17"/>
  <c r="J55" i="17"/>
  <c r="G55" i="17"/>
  <c r="H55" i="17"/>
  <c r="F55" i="17"/>
  <c r="F56" i="17" s="1"/>
  <c r="O55" i="17"/>
  <c r="M55" i="17"/>
  <c r="N41" i="17"/>
  <c r="N52" i="17"/>
  <c r="O52" i="17"/>
  <c r="O41" i="17"/>
  <c r="P55" i="17"/>
  <c r="R55" i="17"/>
  <c r="Q52" i="17"/>
  <c r="P52" i="17"/>
  <c r="P41" i="17"/>
  <c r="Q55" i="17"/>
  <c r="R52" i="17"/>
  <c r="S52" i="17"/>
  <c r="R41" i="17"/>
  <c r="S55" i="17"/>
  <c r="S41" i="17"/>
  <c r="T55" i="17"/>
  <c r="T52" i="17"/>
  <c r="Q41" i="17"/>
  <c r="V55" i="17"/>
  <c r="U55" i="17"/>
  <c r="U52" i="17"/>
  <c r="X55" i="17"/>
  <c r="T41" i="17"/>
  <c r="V52" i="17"/>
  <c r="V41" i="17"/>
  <c r="W55" i="17"/>
  <c r="W52" i="17"/>
  <c r="U41" i="17"/>
  <c r="X52" i="17"/>
  <c r="W41" i="17"/>
  <c r="X41" i="17"/>
  <c r="Y55" i="17"/>
  <c r="Y52" i="17"/>
  <c r="Y41" i="17"/>
  <c r="S34" i="7"/>
  <c r="S36" i="7" s="1"/>
  <c r="S40" i="7" s="1"/>
  <c r="S30" i="7"/>
  <c r="T33" i="7"/>
  <c r="T13" i="12" s="1"/>
  <c r="U19" i="7"/>
  <c r="E16" i="6"/>
  <c r="E59" i="7"/>
  <c r="V19" i="7"/>
  <c r="V24" i="7"/>
  <c r="V28" i="7" s="1"/>
  <c r="F61" i="17" l="1"/>
  <c r="G56" i="17"/>
  <c r="F60" i="7"/>
  <c r="G55" i="7"/>
  <c r="T34" i="7"/>
  <c r="T36" i="7" s="1"/>
  <c r="T40" i="7" s="1"/>
  <c r="T30" i="7"/>
  <c r="V53" i="7"/>
  <c r="V54" i="7" s="1"/>
  <c r="V31" i="7"/>
  <c r="U53" i="7"/>
  <c r="U54" i="7" s="1"/>
  <c r="U31" i="7"/>
  <c r="E14" i="6"/>
  <c r="E28" i="6"/>
  <c r="E30" i="6"/>
  <c r="E25" i="6"/>
  <c r="E26" i="6"/>
  <c r="E29" i="6"/>
  <c r="E31" i="6"/>
  <c r="E32" i="6"/>
  <c r="E27" i="6"/>
  <c r="E15" i="6"/>
  <c r="E24" i="6"/>
  <c r="E13" i="6"/>
  <c r="C13" i="6"/>
  <c r="D13" i="6"/>
  <c r="F23" i="17" s="1"/>
  <c r="E22" i="6"/>
  <c r="E17" i="6"/>
  <c r="E18" i="6"/>
  <c r="E19" i="6"/>
  <c r="E21" i="6"/>
  <c r="E23" i="6"/>
  <c r="E20" i="6"/>
  <c r="W24" i="7"/>
  <c r="W28" i="7" s="1"/>
  <c r="G61" i="17" l="1"/>
  <c r="H56" i="17"/>
  <c r="F29" i="17"/>
  <c r="H55" i="7"/>
  <c r="G60" i="7"/>
  <c r="U33" i="7"/>
  <c r="U13" i="12" s="1"/>
  <c r="V33" i="7"/>
  <c r="F22" i="7"/>
  <c r="W19" i="7"/>
  <c r="C14" i="6"/>
  <c r="D14" i="6" s="1"/>
  <c r="G23" i="17" s="1"/>
  <c r="X24" i="7"/>
  <c r="X28" i="7" s="1"/>
  <c r="V30" i="7" l="1"/>
  <c r="V13" i="12"/>
  <c r="F51" i="17"/>
  <c r="F52" i="17" s="1"/>
  <c r="F53" i="17" s="1"/>
  <c r="F32" i="17"/>
  <c r="H61" i="17"/>
  <c r="I56" i="17"/>
  <c r="G29" i="17"/>
  <c r="H60" i="7"/>
  <c r="I55" i="7"/>
  <c r="U34" i="7"/>
  <c r="U36" i="7" s="1"/>
  <c r="U40" i="7" s="1"/>
  <c r="U30" i="7"/>
  <c r="V34" i="7"/>
  <c r="V36" i="7" s="1"/>
  <c r="V40" i="7" s="1"/>
  <c r="W53" i="7"/>
  <c r="W54" i="7" s="1"/>
  <c r="W31" i="7"/>
  <c r="F28" i="7"/>
  <c r="G22" i="7"/>
  <c r="C15" i="6"/>
  <c r="D15" i="6" s="1"/>
  <c r="H23" i="17" s="1"/>
  <c r="X19" i="7"/>
  <c r="Y24" i="7"/>
  <c r="Y28" i="7" s="1"/>
  <c r="H29" i="17" l="1"/>
  <c r="G51" i="17"/>
  <c r="G52" i="17" s="1"/>
  <c r="G53" i="17" s="1"/>
  <c r="G32" i="17"/>
  <c r="F34" i="17"/>
  <c r="F31" i="17" s="1"/>
  <c r="J55" i="7"/>
  <c r="I60" i="7"/>
  <c r="I61" i="17"/>
  <c r="J56" i="17"/>
  <c r="F60" i="17"/>
  <c r="F57" i="17"/>
  <c r="F31" i="7"/>
  <c r="F33" i="7" s="1"/>
  <c r="F34" i="7" s="1"/>
  <c r="F36" i="7" s="1"/>
  <c r="X53" i="7"/>
  <c r="X54" i="7" s="1"/>
  <c r="X31" i="7"/>
  <c r="W33" i="7"/>
  <c r="W13" i="12" s="1"/>
  <c r="F50" i="7"/>
  <c r="G28" i="7"/>
  <c r="C16" i="6"/>
  <c r="D16" i="6" s="1"/>
  <c r="I23" i="17" s="1"/>
  <c r="H22" i="7"/>
  <c r="Y19" i="7"/>
  <c r="Y31" i="7" s="1"/>
  <c r="F13" i="12" l="1"/>
  <c r="G60" i="17"/>
  <c r="G57" i="17"/>
  <c r="F40" i="7"/>
  <c r="F41" i="7" s="1"/>
  <c r="F37" i="7"/>
  <c r="J61" i="17"/>
  <c r="K56" i="17"/>
  <c r="K55" i="7"/>
  <c r="J60" i="7"/>
  <c r="F51" i="7"/>
  <c r="F52" i="7" s="1"/>
  <c r="F35" i="17"/>
  <c r="F37" i="17" s="1"/>
  <c r="H51" i="17"/>
  <c r="H52" i="17" s="1"/>
  <c r="H53" i="17" s="1"/>
  <c r="H32" i="17"/>
  <c r="I29" i="17"/>
  <c r="G34" i="17"/>
  <c r="G31" i="17" s="1"/>
  <c r="W34" i="7"/>
  <c r="W36" i="7" s="1"/>
  <c r="W40" i="7" s="1"/>
  <c r="W30" i="7"/>
  <c r="F30" i="7"/>
  <c r="G31" i="7"/>
  <c r="X33" i="7"/>
  <c r="X13" i="12" s="1"/>
  <c r="Y33" i="7"/>
  <c r="G50" i="7"/>
  <c r="H28" i="7"/>
  <c r="C17" i="6"/>
  <c r="D17" i="6" s="1"/>
  <c r="I22" i="7"/>
  <c r="Y53" i="7"/>
  <c r="Y54" i="7" s="1"/>
  <c r="C18" i="6" l="1"/>
  <c r="D18" i="6" s="1"/>
  <c r="K23" i="17" s="1"/>
  <c r="Y30" i="7"/>
  <c r="Y13" i="12"/>
  <c r="Y14" i="12" s="1"/>
  <c r="H60" i="17"/>
  <c r="H57" i="17"/>
  <c r="I51" i="17"/>
  <c r="I52" i="17" s="1"/>
  <c r="I53" i="17" s="1"/>
  <c r="I32" i="17"/>
  <c r="F41" i="17"/>
  <c r="F42" i="17" s="1"/>
  <c r="F38" i="17"/>
  <c r="G51" i="7"/>
  <c r="G52" i="7" s="1"/>
  <c r="H34" i="17"/>
  <c r="H31" i="17" s="1"/>
  <c r="K60" i="7"/>
  <c r="L55" i="7"/>
  <c r="J23" i="17"/>
  <c r="G35" i="17"/>
  <c r="G37" i="17" s="1"/>
  <c r="G41" i="17" s="1"/>
  <c r="K61" i="17"/>
  <c r="L56" i="17"/>
  <c r="F56" i="7"/>
  <c r="F59" i="7"/>
  <c r="Y34" i="7"/>
  <c r="Y36" i="7" s="1"/>
  <c r="Y40" i="7" s="1"/>
  <c r="H31" i="7"/>
  <c r="H33" i="7" s="1"/>
  <c r="H13" i="12" s="1"/>
  <c r="H14" i="12" s="1"/>
  <c r="X34" i="7"/>
  <c r="X36" i="7" s="1"/>
  <c r="X40" i="7" s="1"/>
  <c r="X30" i="7"/>
  <c r="G33" i="7"/>
  <c r="G13" i="12" s="1"/>
  <c r="G14" i="12" s="1"/>
  <c r="H50" i="7"/>
  <c r="I28" i="7"/>
  <c r="J22" i="7"/>
  <c r="C19" i="6" l="1"/>
  <c r="D19" i="6" s="1"/>
  <c r="L23" i="17" s="1"/>
  <c r="L29" i="17" s="1"/>
  <c r="K22" i="7"/>
  <c r="K28" i="7" s="1"/>
  <c r="K29" i="17"/>
  <c r="G38" i="17"/>
  <c r="H35" i="17"/>
  <c r="H37" i="17" s="1"/>
  <c r="H41" i="17" s="1"/>
  <c r="G42" i="17"/>
  <c r="I60" i="17"/>
  <c r="I57" i="17"/>
  <c r="H51" i="7"/>
  <c r="H52" i="7" s="1"/>
  <c r="J29" i="17"/>
  <c r="I34" i="17"/>
  <c r="I31" i="17" s="1"/>
  <c r="M55" i="7"/>
  <c r="L60" i="7"/>
  <c r="G59" i="7"/>
  <c r="L61" i="17"/>
  <c r="M56" i="17"/>
  <c r="G56" i="7"/>
  <c r="H34" i="7"/>
  <c r="H36" i="7" s="1"/>
  <c r="H40" i="7" s="1"/>
  <c r="H30" i="7"/>
  <c r="G34" i="7"/>
  <c r="G36" i="7" s="1"/>
  <c r="G30" i="7"/>
  <c r="I31" i="7"/>
  <c r="I50" i="7"/>
  <c r="J28" i="7"/>
  <c r="C20" i="6" l="1"/>
  <c r="D20" i="6" s="1"/>
  <c r="M23" i="17" s="1"/>
  <c r="M29" i="17" s="1"/>
  <c r="L22" i="7"/>
  <c r="K32" i="17"/>
  <c r="K34" i="17" s="1"/>
  <c r="K31" i="17" s="1"/>
  <c r="K51" i="17"/>
  <c r="K52" i="17" s="1"/>
  <c r="H42" i="17"/>
  <c r="H56" i="7"/>
  <c r="H59" i="7"/>
  <c r="H38" i="17"/>
  <c r="I35" i="17"/>
  <c r="I37" i="17" s="1"/>
  <c r="I41" i="17" s="1"/>
  <c r="I42" i="17" s="1"/>
  <c r="J51" i="17"/>
  <c r="J52" i="17" s="1"/>
  <c r="J53" i="17" s="1"/>
  <c r="J32" i="17"/>
  <c r="M61" i="17"/>
  <c r="N56" i="17"/>
  <c r="L51" i="17"/>
  <c r="L52" i="17" s="1"/>
  <c r="L32" i="17"/>
  <c r="I51" i="7"/>
  <c r="I52" i="7" s="1"/>
  <c r="M60" i="7"/>
  <c r="N55" i="7"/>
  <c r="G40" i="7"/>
  <c r="G41" i="7" s="1"/>
  <c r="G37" i="7"/>
  <c r="K31" i="7"/>
  <c r="K33" i="7" s="1"/>
  <c r="K34" i="7" s="1"/>
  <c r="K36" i="7" s="1"/>
  <c r="K40" i="7" s="1"/>
  <c r="J31" i="7"/>
  <c r="J33" i="7" s="1"/>
  <c r="J13" i="12" s="1"/>
  <c r="J14" i="12" s="1"/>
  <c r="I33" i="7"/>
  <c r="K50" i="7"/>
  <c r="K51" i="7" s="1"/>
  <c r="J50" i="7"/>
  <c r="L28" i="7"/>
  <c r="C21" i="6"/>
  <c r="D21" i="6" s="1"/>
  <c r="H37" i="7" l="1"/>
  <c r="H41" i="7"/>
  <c r="M22" i="7"/>
  <c r="M28" i="7" s="1"/>
  <c r="K35" i="17"/>
  <c r="K37" i="17" s="1"/>
  <c r="K41" i="17" s="1"/>
  <c r="K13" i="12"/>
  <c r="K14" i="12" s="1"/>
  <c r="I30" i="7"/>
  <c r="I13" i="12"/>
  <c r="I14" i="12" s="1"/>
  <c r="I38" i="17"/>
  <c r="I59" i="7"/>
  <c r="I56" i="7"/>
  <c r="M51" i="17"/>
  <c r="M52" i="17" s="1"/>
  <c r="M32" i="17"/>
  <c r="L34" i="17"/>
  <c r="L31" i="17" s="1"/>
  <c r="N61" i="17"/>
  <c r="O56" i="17"/>
  <c r="J34" i="17"/>
  <c r="J31" i="17" s="1"/>
  <c r="J51" i="7"/>
  <c r="J52" i="7" s="1"/>
  <c r="N60" i="7"/>
  <c r="O55" i="7"/>
  <c r="K53" i="17"/>
  <c r="J60" i="17"/>
  <c r="J57" i="17"/>
  <c r="J34" i="7"/>
  <c r="J36" i="7" s="1"/>
  <c r="J40" i="7" s="1"/>
  <c r="J30" i="7"/>
  <c r="I34" i="7"/>
  <c r="I36" i="7" s="1"/>
  <c r="K30" i="7"/>
  <c r="L31" i="7"/>
  <c r="L33" i="7" s="1"/>
  <c r="L13" i="12" s="1"/>
  <c r="L14" i="12" s="1"/>
  <c r="L50" i="7"/>
  <c r="L51" i="7" s="1"/>
  <c r="C22" i="6"/>
  <c r="D22" i="6" s="1"/>
  <c r="I37" i="7" l="1"/>
  <c r="J37" i="7" s="1"/>
  <c r="K37" i="7" s="1"/>
  <c r="L35" i="17"/>
  <c r="L37" i="17" s="1"/>
  <c r="L41" i="17" s="1"/>
  <c r="K52" i="7"/>
  <c r="K59" i="7" s="1"/>
  <c r="J56" i="7"/>
  <c r="J59" i="7"/>
  <c r="O61" i="17"/>
  <c r="P56" i="17"/>
  <c r="L53" i="17"/>
  <c r="K60" i="17"/>
  <c r="K57" i="17"/>
  <c r="P55" i="7"/>
  <c r="O60" i="7"/>
  <c r="M34" i="17"/>
  <c r="M31" i="17" s="1"/>
  <c r="E46" i="17" s="1" a="1"/>
  <c r="E46" i="17" s="1"/>
  <c r="I40" i="7"/>
  <c r="I41" i="7" s="1"/>
  <c r="J35" i="17"/>
  <c r="J37" i="17" s="1"/>
  <c r="L34" i="7"/>
  <c r="L36" i="7" s="1"/>
  <c r="L40" i="7" s="1"/>
  <c r="L30" i="7"/>
  <c r="M31" i="7"/>
  <c r="M33" i="7" s="1"/>
  <c r="M13" i="12" s="1"/>
  <c r="M14" i="12" s="1"/>
  <c r="M50" i="7"/>
  <c r="M51" i="7" s="1"/>
  <c r="N14" i="12"/>
  <c r="N50" i="7"/>
  <c r="N51" i="7" s="1"/>
  <c r="C23" i="6"/>
  <c r="J41" i="7" l="1"/>
  <c r="K41" i="7" s="1"/>
  <c r="L41" i="7" s="1"/>
  <c r="Q55" i="7"/>
  <c r="P60" i="7"/>
  <c r="M53" i="17"/>
  <c r="L60" i="17"/>
  <c r="L57" i="17"/>
  <c r="J41" i="17"/>
  <c r="J42" i="17" s="1"/>
  <c r="K42" i="17" s="1"/>
  <c r="L42" i="17" s="1"/>
  <c r="J38" i="17"/>
  <c r="K38" i="17" s="1"/>
  <c r="L38" i="17" s="1"/>
  <c r="L37" i="7"/>
  <c r="P61" i="17"/>
  <c r="Q56" i="17"/>
  <c r="M35" i="17"/>
  <c r="M37" i="17" s="1"/>
  <c r="M41" i="17" s="1"/>
  <c r="L52" i="7"/>
  <c r="L59" i="7" s="1"/>
  <c r="K56" i="7"/>
  <c r="M34" i="7"/>
  <c r="M36" i="7" s="1"/>
  <c r="M30" i="7"/>
  <c r="E45" i="7" s="1" a="1"/>
  <c r="E45" i="7" s="1"/>
  <c r="O14" i="12"/>
  <c r="O50" i="7"/>
  <c r="O51" i="7" s="1"/>
  <c r="D23" i="6"/>
  <c r="M40" i="7" l="1"/>
  <c r="M41" i="7" s="1"/>
  <c r="N41" i="7" s="1"/>
  <c r="O41" i="7" s="1"/>
  <c r="P41" i="7" s="1"/>
  <c r="Q41" i="7" s="1"/>
  <c r="R41" i="7" s="1"/>
  <c r="S41" i="7" s="1"/>
  <c r="T41" i="7" s="1"/>
  <c r="U41" i="7" s="1"/>
  <c r="V41" i="7" s="1"/>
  <c r="W41" i="7" s="1"/>
  <c r="X41" i="7" s="1"/>
  <c r="E44" i="7"/>
  <c r="E45" i="17"/>
  <c r="N53" i="17"/>
  <c r="M60" i="17"/>
  <c r="M57" i="17"/>
  <c r="E43" i="7"/>
  <c r="E15" i="16" s="1"/>
  <c r="M37" i="7"/>
  <c r="N37" i="7" s="1"/>
  <c r="O37" i="7" s="1"/>
  <c r="P37" i="7" s="1"/>
  <c r="Q37" i="7" s="1"/>
  <c r="R37" i="7" s="1"/>
  <c r="S37" i="7" s="1"/>
  <c r="T37" i="7" s="1"/>
  <c r="U37" i="7" s="1"/>
  <c r="V37" i="7" s="1"/>
  <c r="W37" i="7" s="1"/>
  <c r="X37" i="7" s="1"/>
  <c r="Y37" i="7" s="1"/>
  <c r="E46" i="7" s="1" a="1"/>
  <c r="E46" i="7" s="1"/>
  <c r="M42" i="17"/>
  <c r="N42" i="17" s="1"/>
  <c r="O42" i="17" s="1"/>
  <c r="P42" i="17" s="1"/>
  <c r="Q42" i="17" s="1"/>
  <c r="R42" i="17" s="1"/>
  <c r="S42" i="17" s="1"/>
  <c r="T42" i="17" s="1"/>
  <c r="U42" i="17" s="1"/>
  <c r="V42" i="17" s="1"/>
  <c r="W42" i="17" s="1"/>
  <c r="X42" i="17" s="1"/>
  <c r="E48" i="17" s="1" a="1"/>
  <c r="E48" i="17" s="1"/>
  <c r="Q61" i="17"/>
  <c r="R56" i="17"/>
  <c r="M38" i="17"/>
  <c r="N38" i="17" s="1"/>
  <c r="O38" i="17" s="1"/>
  <c r="P38" i="17" s="1"/>
  <c r="Q38" i="17" s="1"/>
  <c r="R38" i="17" s="1"/>
  <c r="S38" i="17" s="1"/>
  <c r="T38" i="17" s="1"/>
  <c r="U38" i="17" s="1"/>
  <c r="V38" i="17" s="1"/>
  <c r="W38" i="17" s="1"/>
  <c r="X38" i="17" s="1"/>
  <c r="Y38" i="17" s="1"/>
  <c r="E47" i="17" s="1" a="1"/>
  <c r="E47" i="17" s="1"/>
  <c r="R55" i="7"/>
  <c r="S55" i="7" s="1"/>
  <c r="Q60" i="7"/>
  <c r="M52" i="7"/>
  <c r="L56" i="7"/>
  <c r="E44" i="17"/>
  <c r="E17" i="16" s="1"/>
  <c r="C24" i="6"/>
  <c r="E47" i="7" l="1" a="1"/>
  <c r="E47" i="7" s="1"/>
  <c r="E18" i="16"/>
  <c r="E16" i="16"/>
  <c r="R60" i="7"/>
  <c r="B38" i="13"/>
  <c r="C38" i="13"/>
  <c r="E38" i="13"/>
  <c r="D38" i="13"/>
  <c r="N52" i="7"/>
  <c r="M59" i="7"/>
  <c r="M56" i="7"/>
  <c r="R61" i="17"/>
  <c r="S56" i="17"/>
  <c r="O53" i="17"/>
  <c r="N60" i="17"/>
  <c r="N57" i="17"/>
  <c r="T55" i="7"/>
  <c r="S60" i="7"/>
  <c r="P14" i="12"/>
  <c r="D24" i="6"/>
  <c r="P50" i="7"/>
  <c r="P51" i="7" s="1"/>
  <c r="P53" i="17" l="1"/>
  <c r="O60" i="17"/>
  <c r="O57" i="17"/>
  <c r="T60" i="7"/>
  <c r="U55" i="7"/>
  <c r="S61" i="17"/>
  <c r="T56" i="17"/>
  <c r="O52" i="7"/>
  <c r="N56" i="7"/>
  <c r="N59" i="7"/>
  <c r="C25" i="6"/>
  <c r="D25" i="6" s="1"/>
  <c r="T61" i="17" l="1"/>
  <c r="U56" i="17"/>
  <c r="P52" i="7"/>
  <c r="O59" i="7"/>
  <c r="O56" i="7"/>
  <c r="V55" i="7"/>
  <c r="U60" i="7"/>
  <c r="Q53" i="17"/>
  <c r="P60" i="17"/>
  <c r="P57" i="17"/>
  <c r="Q50" i="7"/>
  <c r="Q14" i="12"/>
  <c r="C26" i="6"/>
  <c r="D26" i="6"/>
  <c r="Q51" i="7" l="1"/>
  <c r="Q52" i="7" s="1"/>
  <c r="P56" i="7"/>
  <c r="P59" i="7"/>
  <c r="V60" i="7"/>
  <c r="W55" i="7"/>
  <c r="U61" i="17"/>
  <c r="V56" i="17"/>
  <c r="R53" i="17"/>
  <c r="Q60" i="17"/>
  <c r="Q57" i="17"/>
  <c r="R14" i="12"/>
  <c r="R50" i="7"/>
  <c r="C27" i="6"/>
  <c r="D27" i="6" s="1"/>
  <c r="R51" i="7" l="1"/>
  <c r="R52" i="7" s="1"/>
  <c r="S53" i="17"/>
  <c r="R60" i="17"/>
  <c r="R57" i="17"/>
  <c r="W60" i="7"/>
  <c r="X55" i="7"/>
  <c r="Q56" i="7"/>
  <c r="V61" i="17"/>
  <c r="W56" i="17"/>
  <c r="Q59" i="7"/>
  <c r="S14" i="12"/>
  <c r="C28" i="6"/>
  <c r="S50" i="7"/>
  <c r="S51" i="7" s="1"/>
  <c r="S52" i="7" l="1"/>
  <c r="S56" i="7" s="1"/>
  <c r="W61" i="17"/>
  <c r="X56" i="17"/>
  <c r="Y55" i="7"/>
  <c r="Y60" i="7" s="1"/>
  <c r="X60" i="7"/>
  <c r="T53" i="17"/>
  <c r="S60" i="17"/>
  <c r="S57" i="17"/>
  <c r="R59" i="7"/>
  <c r="R56" i="7"/>
  <c r="T14" i="12"/>
  <c r="D28" i="6"/>
  <c r="T50" i="7"/>
  <c r="T51" i="7" s="1"/>
  <c r="S59" i="7" l="1"/>
  <c r="T52" i="7"/>
  <c r="T59" i="7" s="1"/>
  <c r="U53" i="17"/>
  <c r="T60" i="17"/>
  <c r="T57" i="17"/>
  <c r="X61" i="17"/>
  <c r="Y56" i="17"/>
  <c r="C29" i="6"/>
  <c r="T56" i="7" l="1"/>
  <c r="Y61" i="17"/>
  <c r="V53" i="17"/>
  <c r="U60" i="17"/>
  <c r="U57" i="17"/>
  <c r="U14" i="12"/>
  <c r="U50" i="7"/>
  <c r="D29" i="6"/>
  <c r="W53" i="17" l="1"/>
  <c r="V60" i="17"/>
  <c r="V57" i="17"/>
  <c r="U51" i="7"/>
  <c r="U52" i="7" s="1"/>
  <c r="U56" i="7" s="1"/>
  <c r="C30" i="6"/>
  <c r="D30" i="6" s="1"/>
  <c r="U59" i="7" l="1"/>
  <c r="X53" i="17"/>
  <c r="W60" i="17"/>
  <c r="W57" i="17"/>
  <c r="V14" i="12"/>
  <c r="V50" i="7"/>
  <c r="V51" i="7" s="1"/>
  <c r="V52" i="7" s="1"/>
  <c r="C31" i="6"/>
  <c r="D31" i="6" s="1"/>
  <c r="Y53" i="17" l="1"/>
  <c r="X60" i="17"/>
  <c r="X57" i="17"/>
  <c r="W14" i="12"/>
  <c r="W50" i="7"/>
  <c r="W51" i="7" s="1"/>
  <c r="W52" i="7" s="1"/>
  <c r="V56" i="7"/>
  <c r="V59" i="7"/>
  <c r="C32" i="6"/>
  <c r="D32" i="6" s="1"/>
  <c r="Y60" i="17" l="1"/>
  <c r="Y57" i="17"/>
  <c r="X14" i="12"/>
  <c r="W56" i="7"/>
  <c r="X50" i="7"/>
  <c r="X51" i="7" s="1"/>
  <c r="X52" i="7" s="1"/>
  <c r="W59" i="7"/>
  <c r="X56" i="7" l="1"/>
  <c r="X59" i="7"/>
  <c r="Y50" i="7"/>
  <c r="Y51" i="7" l="1"/>
  <c r="Y52" i="7" s="1"/>
  <c r="Y56" i="7" s="1"/>
  <c r="Y59" i="7" l="1"/>
  <c r="F14" i="12"/>
  <c r="E19" i="12" s="1"/>
  <c r="E20" i="12" l="1"/>
  <c r="E14" i="1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<sst xmlns="http://schemas.openxmlformats.org/spreadsheetml/2006/main" count="326" uniqueCount="196">
  <si>
    <t>SET SOFTVERSKOG ALATA ZA ANALIZU EFIKASNOSTI MERA KOJE IMPLEMENTIRAJU KOMPANIJE ZA DALJINSKO GREJANJE</t>
  </si>
  <si>
    <t>EUR</t>
  </si>
  <si>
    <t>Izabrati meru koja se analizira</t>
  </si>
  <si>
    <t>Podsticaji</t>
  </si>
  <si>
    <t>Grant finansijske institucije</t>
  </si>
  <si>
    <t>Grant lokalne samouprave</t>
  </si>
  <si>
    <t>Grant Uprave za EE i OIE</t>
  </si>
  <si>
    <t>Grant zelenih fondova</t>
  </si>
  <si>
    <t>Učešće krajnjih korisnika</t>
  </si>
  <si>
    <t>ESCO sopstveni kapital</t>
  </si>
  <si>
    <t>Fiksno</t>
  </si>
  <si>
    <t>Investicija</t>
  </si>
  <si>
    <t>Ostalo</t>
  </si>
  <si>
    <t>Konver.F.</t>
  </si>
  <si>
    <t>Prirodni gas</t>
  </si>
  <si>
    <t>Tečni naftni gas</t>
  </si>
  <si>
    <t>Lož-ulje</t>
  </si>
  <si>
    <t>Mazut</t>
  </si>
  <si>
    <t>Električna energija</t>
  </si>
  <si>
    <t>Drvo</t>
  </si>
  <si>
    <t>Mrki ugalj</t>
  </si>
  <si>
    <t>Lignit</t>
  </si>
  <si>
    <t>Solarna energija</t>
  </si>
  <si>
    <t>Drvo sertifikovano</t>
  </si>
  <si>
    <t>EUR ili -</t>
  </si>
  <si>
    <t>MWh/a</t>
  </si>
  <si>
    <t>EUR/a</t>
  </si>
  <si>
    <t>Period</t>
  </si>
  <si>
    <t>NPV (EUR)</t>
  </si>
  <si>
    <t>IRR (%)</t>
  </si>
  <si>
    <t>LCoEE (EUR/MWh):</t>
  </si>
  <si>
    <r>
      <t>LCoCO</t>
    </r>
    <r>
      <rPr>
        <vertAlign val="subscript"/>
        <sz val="11"/>
        <color theme="0"/>
        <rFont val="Calibri"/>
        <family val="2"/>
        <scheme val="minor"/>
      </rPr>
      <t>2</t>
    </r>
    <r>
      <rPr>
        <sz val="11"/>
        <color theme="0"/>
        <rFont val="Calibri"/>
        <family val="2"/>
        <scheme val="minor"/>
      </rPr>
      <t xml:space="preserve"> (EUR/t</t>
    </r>
    <r>
      <rPr>
        <vertAlign val="subscript"/>
        <sz val="11"/>
        <color theme="0"/>
        <rFont val="Calibri"/>
        <family val="2"/>
        <scheme val="minor"/>
      </rPr>
      <t>CO2 eq</t>
    </r>
    <r>
      <rPr>
        <sz val="11"/>
        <color theme="0"/>
        <rFont val="Calibri"/>
        <family val="2"/>
        <scheme val="minor"/>
      </rPr>
      <t>):</t>
    </r>
  </si>
  <si>
    <t>Projakat</t>
  </si>
  <si>
    <t>Termoizolacija omotača zgrade</t>
  </si>
  <si>
    <t>Ugradnja TS ventila i alokatora troškova</t>
  </si>
  <si>
    <t>Zamena stolarije</t>
  </si>
  <si>
    <t>Modernizacija toplotnih podstanica</t>
  </si>
  <si>
    <t>Ugradnja cirkulacione pumpe sa promenljivim brojem obrtaja</t>
  </si>
  <si>
    <t>Kompenzacija snage - elektro</t>
  </si>
  <si>
    <t>Termoizolacija cevovoda i opreme</t>
  </si>
  <si>
    <t>Instalacija SCADA</t>
  </si>
  <si>
    <t>Ugradnja rekuperatora toplote u dimovodni trakt</t>
  </si>
  <si>
    <t>Rekonstrukcija distributivne mreže</t>
  </si>
  <si>
    <t>Ugradnja toplotne pumpe i povezivanje na sekundar TPS</t>
  </si>
  <si>
    <t>Ugradnja termal-solar sistema u zgradi</t>
  </si>
  <si>
    <t>Termal-solar velikog kapaciteta</t>
  </si>
  <si>
    <t>Toplotna pumpa velikog kapaciteta</t>
  </si>
  <si>
    <t>Foto-naponska instalacija</t>
  </si>
  <si>
    <t>Kotao na drvnu sečku</t>
  </si>
  <si>
    <t>Izračunavanje cene toplote</t>
  </si>
  <si>
    <t>Priprema projekta (projekti, dozvole, ostalo)</t>
  </si>
  <si>
    <t>Nadzor i upravljanje projektom</t>
  </si>
  <si>
    <t>Nabavka opreme i materijala</t>
  </si>
  <si>
    <t>Mašinsko-montažni radovi</t>
  </si>
  <si>
    <t>Građevinski radovi</t>
  </si>
  <si>
    <t>Povezivanje signalnih kablova</t>
  </si>
  <si>
    <t>Ispitivanje na nepropusnost i čvrstoću</t>
  </si>
  <si>
    <t>Primopredaja radova</t>
  </si>
  <si>
    <t>Nepredviđeni troškovi</t>
  </si>
  <si>
    <t>ESCO/DG operativni troškovi</t>
  </si>
  <si>
    <t>Udeo u uštedama ako gradi ESCO</t>
  </si>
  <si>
    <t>Troškovi održavanja</t>
  </si>
  <si>
    <t>Amortizacija i depresijacija</t>
  </si>
  <si>
    <r>
      <t>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Taksa</t>
    </r>
  </si>
  <si>
    <r>
      <t>Konverzioni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faktor - t/MWh primarne energije</t>
    </r>
  </si>
  <si>
    <t>Period otplate ili period garantovane uštede</t>
  </si>
  <si>
    <t>Vremenski okvir projekta</t>
  </si>
  <si>
    <t>Diskontna stopa</t>
  </si>
  <si>
    <t>Kamatna stopa na sredstva iz kredita</t>
  </si>
  <si>
    <t>Gorivo ili energija</t>
  </si>
  <si>
    <t>Prosečan prečnik</t>
  </si>
  <si>
    <t>W/m</t>
  </si>
  <si>
    <t>DN50</t>
  </si>
  <si>
    <t>DN65</t>
  </si>
  <si>
    <t>DN80</t>
  </si>
  <si>
    <t>DN100</t>
  </si>
  <si>
    <t>DN125</t>
  </si>
  <si>
    <t>DN150</t>
  </si>
  <si>
    <t>DN200</t>
  </si>
  <si>
    <t>DN250</t>
  </si>
  <si>
    <t>DN300</t>
  </si>
  <si>
    <t>DN350</t>
  </si>
  <si>
    <t>DN400</t>
  </si>
  <si>
    <t>ENERGIJA I TROŠKOVI ENERGIJE</t>
  </si>
  <si>
    <t>Proizvodna cena toplote</t>
  </si>
  <si>
    <t>Gubici vode, pre projekta</t>
  </si>
  <si>
    <t>Gubici vode, posle projekta</t>
  </si>
  <si>
    <t>Prosečna temperatura u distributivnoj mreži</t>
  </si>
  <si>
    <t>Temperatura sirove vode</t>
  </si>
  <si>
    <t>Prosečan prečnik sekcije koja se rekonstruiše</t>
  </si>
  <si>
    <t>Dužina sekcije (trase)</t>
  </si>
  <si>
    <t>Stepen oštećenja termičke izolacije</t>
  </si>
  <si>
    <t>Ušteda energije</t>
  </si>
  <si>
    <t>Ušteda u novcu</t>
  </si>
  <si>
    <t>RSD/MWh</t>
  </si>
  <si>
    <t>t/a</t>
  </si>
  <si>
    <r>
      <rPr>
        <vertAlign val="super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>C</t>
    </r>
  </si>
  <si>
    <t>-</t>
  </si>
  <si>
    <t>m</t>
  </si>
  <si>
    <t>Prema metodologiji</t>
  </si>
  <si>
    <t>Prema izveštaju tehničkog sektora</t>
  </si>
  <si>
    <t>Cena vode</t>
  </si>
  <si>
    <r>
      <t>RSD/m</t>
    </r>
    <r>
      <rPr>
        <vertAlign val="superscript"/>
        <sz val="11"/>
        <color theme="1"/>
        <rFont val="Calibri"/>
        <family val="2"/>
        <scheme val="minor"/>
      </rPr>
      <t>3</t>
    </r>
  </si>
  <si>
    <t>UNOS PODATAKA ZA PRORAČUN</t>
  </si>
  <si>
    <t>Ukupno:</t>
  </si>
  <si>
    <t>Kredit:</t>
  </si>
  <si>
    <t>CO2 Taksa</t>
  </si>
  <si>
    <t>Konverzioni CO2 faktor - t/MWh primarne energije</t>
  </si>
  <si>
    <t>IZRAČUNAVANJE ANUITETA</t>
  </si>
  <si>
    <t>Preostali iznos glavnice (EUR)</t>
  </si>
  <si>
    <t>Kamata = Troškovi kredita (EUR)</t>
  </si>
  <si>
    <t>Anuiteti (EUR)</t>
  </si>
  <si>
    <t>FINANSIJSKI INDIKATORI</t>
  </si>
  <si>
    <t>Kredit (EUR)</t>
  </si>
  <si>
    <t>Sopstveni kapital (EUR)</t>
  </si>
  <si>
    <t>Uštede izražene u novcu (EUR/a)</t>
  </si>
  <si>
    <t>Ukupan prihod = uštede (EUR)</t>
  </si>
  <si>
    <t>Troškovi finansiranja - kamate (EUR/a)</t>
  </si>
  <si>
    <t>Operativni troškovi (EUR/a)</t>
  </si>
  <si>
    <t>Troškovi održavanja (EUR/a)</t>
  </si>
  <si>
    <t>Ukupno godišnji troškovi (EUR/a)</t>
  </si>
  <si>
    <t>Porez na dobit</t>
  </si>
  <si>
    <t>Dobit nakon oporezivanja (EUR/a)</t>
  </si>
  <si>
    <t>Graf - Troškovi diskontovani, kumul.</t>
  </si>
  <si>
    <t>Graf - Prihodi diskontovani, kumul.</t>
  </si>
  <si>
    <t>Ušteda energije (MWh/a)</t>
  </si>
  <si>
    <t>Ušteda vode (t/a)</t>
  </si>
  <si>
    <r>
      <t>Prihod od karbon taksi (CO</t>
    </r>
    <r>
      <rPr>
        <vertAlign val="subscript"/>
        <sz val="11"/>
        <color theme="1"/>
        <rFont val="Calibri"/>
        <family val="2"/>
        <scheme val="minor"/>
      </rPr>
      <t>2)</t>
    </r>
  </si>
  <si>
    <t>GRAF / CASH FLOW / FINANSIJSKI</t>
  </si>
  <si>
    <t>GRAPH / CASH FLOW / EKONOMSKI</t>
  </si>
  <si>
    <t>LCoEE Proračun</t>
  </si>
  <si>
    <t>Vremenski okvir</t>
  </si>
  <si>
    <t>Investicija (EUR)</t>
  </si>
  <si>
    <t>Operativni troškovi i održavanje (EUR)</t>
  </si>
  <si>
    <t>Ukupni troškovi (EUR)</t>
  </si>
  <si>
    <r>
      <t>Smanjenje emisije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(t/a)</t>
    </r>
  </si>
  <si>
    <t>ANALIZA OSETLJIVOSTI</t>
  </si>
  <si>
    <t>Iznos kredita:</t>
  </si>
  <si>
    <t>NAZAD</t>
  </si>
  <si>
    <t>DALJE</t>
  </si>
  <si>
    <t>Udeo u uštedama ako gradi ESCO (EUR/a)</t>
  </si>
  <si>
    <t>ESCO INVESTICIJA</t>
  </si>
  <si>
    <t>N/A</t>
  </si>
  <si>
    <t>GRAFIK / CASH FLOW / FINANSIJSKI</t>
  </si>
  <si>
    <t>Udeo ako gradi ESCO (EUR/a)</t>
  </si>
  <si>
    <t>Diskontovana vrednost udela (EUR/a)</t>
  </si>
  <si>
    <t>REZIME PROJEKTA</t>
  </si>
  <si>
    <t>Projekat</t>
  </si>
  <si>
    <t>Investiciona vrednost (EUR)</t>
  </si>
  <si>
    <t>Subvencije (EUR)</t>
  </si>
  <si>
    <t>LCoE(EE) (EUR/MWh)</t>
  </si>
  <si>
    <t>Miks goriva</t>
  </si>
  <si>
    <t>Finansijska diskontna stopa</t>
  </si>
  <si>
    <t>Grantovi</t>
  </si>
  <si>
    <t>Kredit</t>
  </si>
  <si>
    <t>Sopstveni kapital</t>
  </si>
  <si>
    <t>Ukupno</t>
  </si>
  <si>
    <t>Prinos na sopstveni kapital</t>
  </si>
  <si>
    <t>Projekat “Bolja energija"</t>
  </si>
  <si>
    <t>Toplota iz DH</t>
  </si>
  <si>
    <t>Grantovi (EUR)</t>
  </si>
  <si>
    <t>PRIHODI</t>
  </si>
  <si>
    <t>TROŠKOVI</t>
  </si>
  <si>
    <t>Otplata glavnice (EUR/a)</t>
  </si>
  <si>
    <t>Amortizacija (EUR)</t>
  </si>
  <si>
    <t>Ukupno troškovi cash flow</t>
  </si>
  <si>
    <t>BRUTO DOBIT (EUR/a)</t>
  </si>
  <si>
    <t>Nominalni troškovi</t>
  </si>
  <si>
    <t>Diskontovani troškovi</t>
  </si>
  <si>
    <t>Diskontovani troškovi, kumul.</t>
  </si>
  <si>
    <t>Nominalni prihodi</t>
  </si>
  <si>
    <t>Diskontovani prihodi</t>
  </si>
  <si>
    <t>Diskontovani prihodi, kumul.</t>
  </si>
  <si>
    <t>Bruto dobit, diskontovano, kumulativno</t>
  </si>
  <si>
    <t>Cena koštanja (EUR/MWh)</t>
  </si>
  <si>
    <t>Neto gotovinski tok</t>
  </si>
  <si>
    <t>Kumulativni gotovinski tok</t>
  </si>
  <si>
    <t>Diskontovani gotovinski tok</t>
  </si>
  <si>
    <t>Kumulativni diskontovani gotovinski tok</t>
  </si>
  <si>
    <t>Neto sadašnja vrednost</t>
  </si>
  <si>
    <t>Interna stopa povraćaja</t>
  </si>
  <si>
    <t>Odnos rezultata i troškova</t>
  </si>
  <si>
    <t>Period povraćaja</t>
  </si>
  <si>
    <t>Diskontovani period povraćaja</t>
  </si>
  <si>
    <t>godina</t>
  </si>
  <si>
    <r>
      <t>Bez CO</t>
    </r>
    <r>
      <rPr>
        <b/>
        <sz val="11"/>
        <color theme="1"/>
        <rFont val="Calibri"/>
        <family val="2"/>
      </rPr>
      <t>₂</t>
    </r>
  </si>
  <si>
    <r>
      <t>Sa CO</t>
    </r>
    <r>
      <rPr>
        <sz val="11"/>
        <color theme="1"/>
        <rFont val="Calibri"/>
        <family val="2"/>
      </rPr>
      <t>₂</t>
    </r>
  </si>
  <si>
    <t>NPV</t>
  </si>
  <si>
    <t>IRR</t>
  </si>
  <si>
    <t>Bazni slučaj</t>
  </si>
  <si>
    <t>NPV = 0</t>
  </si>
  <si>
    <t>Cena toplote</t>
  </si>
  <si>
    <t>Investicije</t>
  </si>
  <si>
    <t>Neosetljivo</t>
  </si>
  <si>
    <r>
      <t>NPV CO</t>
    </r>
    <r>
      <rPr>
        <sz val="11"/>
        <color theme="0"/>
        <rFont val="Calibri"/>
        <family val="2"/>
      </rPr>
      <t>²</t>
    </r>
    <r>
      <rPr>
        <sz val="11"/>
        <color theme="0"/>
        <rFont val="Calibri"/>
        <family val="2"/>
        <scheme val="minor"/>
      </rPr>
      <t xml:space="preserve"> (EUR)</t>
    </r>
  </si>
  <si>
    <r>
      <t>IRR CO</t>
    </r>
    <r>
      <rPr>
        <sz val="11"/>
        <color theme="0"/>
        <rFont val="Calibri"/>
        <family val="2"/>
      </rPr>
      <t xml:space="preserve">² </t>
    </r>
    <r>
      <rPr>
        <sz val="11"/>
        <color theme="0"/>
        <rFont val="Calibri"/>
        <family val="2"/>
        <scheme val="minor"/>
      </rPr>
      <t>(%)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</si>
</sst>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#,##0.00;[Red]\-&quot;$&quot;#,##0.00"/>
    <numFmt numFmtId="164" formatCode="#,##0.000"/>
    <numFmt numFmtId="165" formatCode="#,##0.00_ ;[Red]\-#,##0.00\ "/>
    <numFmt numFmtId="166" formatCode="#,##0_ ;[Red]\-#,##0\ "/>
  </numFmts>
  <fonts count="1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sz val="28"/>
      <color theme="0"/>
      <name val="Calibri"/>
      <family val="2"/>
      <scheme val="minor"/>
    </font>
    <font>
      <vertAlign val="subscript"/>
      <sz val="11"/>
      <color theme="0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4"/>
      <color theme="0"/>
      <name val="Calibri"/>
      <family val="2"/>
      <scheme val="minor"/>
    </font>
    <font>
      <sz val="9"/>
      <color rgb="FF002F6C"/>
      <name val="Gill Sans MT"/>
      <family val="2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gradientFill degree="90">
        <stop position="0">
          <color theme="0"/>
        </stop>
        <stop position="0.5">
          <color rgb="FFC00000"/>
        </stop>
        <stop position="1">
          <color theme="0"/>
        </stop>
      </gradientFill>
    </fill>
    <fill>
      <gradientFill degree="90">
        <stop position="0">
          <color theme="0"/>
        </stop>
        <stop position="0.5">
          <color rgb="FF00B050"/>
        </stop>
        <stop position="1">
          <color theme="0"/>
        </stop>
      </gradient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3">
    <xf numFmtId="0" fontId="0" fillId="0" borderId="0"/>
    <xf numFmtId="0" fontId="8" fillId="0" borderId="0" applyNumberFormat="0" applyFill="0" applyBorder="0" applyAlignment="0" applyProtection="0"/>
    <xf numFmtId="9" fontId="13" fillId="0" borderId="0" applyFont="0" applyFill="0" applyBorder="0" applyAlignment="0" applyProtection="0"/>
  </cellStyleXfs>
  <cellXfs count="78">
    <xf numFmtId="0" fontId="0" fillId="0" borderId="0" xfId="0"/>
    <xf numFmtId="0" fontId="1" fillId="3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4" fontId="0" fillId="0" borderId="0" xfId="0" applyNumberFormat="1"/>
    <xf numFmtId="0" fontId="2" fillId="3" borderId="0" xfId="0" applyFont="1" applyFill="1"/>
    <xf numFmtId="0" fontId="2" fillId="4" borderId="0" xfId="0" applyFont="1" applyFill="1"/>
    <xf numFmtId="0" fontId="0" fillId="0" borderId="0" xfId="0" applyAlignment="1">
      <alignment horizontal="center"/>
    </xf>
    <xf numFmtId="10" fontId="0" fillId="0" borderId="0" xfId="0" applyNumberFormat="1"/>
    <xf numFmtId="4" fontId="0" fillId="0" borderId="0" xfId="0" applyNumberFormat="1" applyProtection="1">
      <protection locked="0"/>
    </xf>
    <xf numFmtId="1" fontId="0" fillId="0" borderId="0" xfId="0" applyNumberFormat="1"/>
    <xf numFmtId="0" fontId="1" fillId="0" borderId="0" xfId="0" applyFont="1"/>
    <xf numFmtId="0" fontId="0" fillId="0" borderId="0" xfId="0" applyAlignment="1">
      <alignment vertical="distributed"/>
    </xf>
    <xf numFmtId="3" fontId="0" fillId="0" borderId="0" xfId="0" applyNumberFormat="1"/>
    <xf numFmtId="4" fontId="0" fillId="0" borderId="0" xfId="0" applyNumberFormat="1" applyAlignment="1">
      <alignment horizontal="right"/>
    </xf>
    <xf numFmtId="0" fontId="1" fillId="5" borderId="0" xfId="0" applyFont="1" applyFill="1" applyAlignment="1">
      <alignment horizontal="center"/>
    </xf>
    <xf numFmtId="0" fontId="2" fillId="5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40" fontId="0" fillId="0" borderId="0" xfId="0" applyNumberFormat="1"/>
    <xf numFmtId="9" fontId="0" fillId="0" borderId="0" xfId="0" applyNumberFormat="1"/>
    <xf numFmtId="0" fontId="2" fillId="5" borderId="0" xfId="0" applyFont="1" applyFill="1"/>
    <xf numFmtId="10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0" fontId="0" fillId="0" borderId="0" xfId="0" applyAlignment="1">
      <alignment horizontal="left"/>
    </xf>
    <xf numFmtId="0" fontId="2" fillId="7" borderId="0" xfId="0" applyFont="1" applyFill="1"/>
    <xf numFmtId="0" fontId="0" fillId="7" borderId="0" xfId="0" applyFill="1"/>
    <xf numFmtId="0" fontId="0" fillId="0" borderId="0" xfId="0" applyAlignment="1">
      <alignment horizontal="right"/>
    </xf>
    <xf numFmtId="164" fontId="0" fillId="0" borderId="0" xfId="0" applyNumberFormat="1" applyAlignment="1">
      <alignment horizontal="center"/>
    </xf>
    <xf numFmtId="4" fontId="0" fillId="2" borderId="0" xfId="0" applyNumberFormat="1" applyFill="1"/>
    <xf numFmtId="3" fontId="0" fillId="2" borderId="0" xfId="0" applyNumberFormat="1" applyFill="1"/>
    <xf numFmtId="2" fontId="0" fillId="2" borderId="0" xfId="0" applyNumberFormat="1" applyFill="1"/>
    <xf numFmtId="10" fontId="0" fillId="2" borderId="0" xfId="0" applyNumberFormat="1" applyFill="1"/>
    <xf numFmtId="0" fontId="0" fillId="2" borderId="0" xfId="0" applyFill="1" applyAlignment="1">
      <alignment horizontal="right"/>
    </xf>
    <xf numFmtId="4" fontId="0" fillId="8" borderId="0" xfId="0" applyNumberFormat="1" applyFill="1"/>
    <xf numFmtId="3" fontId="0" fillId="8" borderId="0" xfId="0" applyNumberFormat="1" applyFill="1"/>
    <xf numFmtId="0" fontId="11" fillId="0" borderId="0" xfId="0" applyFont="1"/>
    <xf numFmtId="4" fontId="11" fillId="0" borderId="0" xfId="0" applyNumberFormat="1" applyFont="1"/>
    <xf numFmtId="4" fontId="12" fillId="0" borderId="0" xfId="0" applyNumberFormat="1" applyFont="1" applyProtection="1">
      <protection locked="0"/>
    </xf>
    <xf numFmtId="0" fontId="0" fillId="6" borderId="0" xfId="0" applyFill="1"/>
    <xf numFmtId="4" fontId="0" fillId="6" borderId="0" xfId="0" applyNumberFormat="1" applyFill="1"/>
    <xf numFmtId="0" fontId="0" fillId="11" borderId="0" xfId="0" applyFill="1"/>
    <xf numFmtId="0" fontId="0" fillId="11" borderId="0" xfId="0" applyFill="1" applyAlignment="1">
      <alignment horizontal="left"/>
    </xf>
    <xf numFmtId="0" fontId="12" fillId="0" borderId="0" xfId="0" applyFont="1" applyAlignment="1">
      <alignment horizontal="left"/>
    </xf>
    <xf numFmtId="0" fontId="12" fillId="11" borderId="0" xfId="0" applyFont="1" applyFill="1" applyAlignment="1">
      <alignment horizontal="left"/>
    </xf>
    <xf numFmtId="165" fontId="0" fillId="11" borderId="0" xfId="0" applyNumberFormat="1" applyFill="1"/>
    <xf numFmtId="8" fontId="0" fillId="11" borderId="0" xfId="0" applyNumberFormat="1" applyFill="1"/>
    <xf numFmtId="10" fontId="0" fillId="11" borderId="0" xfId="0" applyNumberFormat="1" applyFill="1"/>
    <xf numFmtId="0" fontId="14" fillId="0" borderId="1" xfId="0" applyFont="1" applyBorder="1" applyAlignment="1">
      <alignment horizontal="centerContinuous"/>
    </xf>
    <xf numFmtId="0" fontId="14" fillId="0" borderId="2" xfId="0" applyFont="1" applyBorder="1" applyAlignment="1">
      <alignment horizontal="centerContinuous"/>
    </xf>
    <xf numFmtId="0" fontId="14" fillId="0" borderId="3" xfId="0" applyFont="1" applyBorder="1" applyAlignment="1">
      <alignment horizontal="center"/>
    </xf>
    <xf numFmtId="0" fontId="14" fillId="0" borderId="0" xfId="0" applyFont="1"/>
    <xf numFmtId="166" fontId="0" fillId="0" borderId="0" xfId="0" applyNumberFormat="1"/>
    <xf numFmtId="10" fontId="0" fillId="0" borderId="0" xfId="2" applyNumberFormat="1" applyFont="1"/>
    <xf numFmtId="166" fontId="0" fillId="0" borderId="0" xfId="2" applyNumberFormat="1" applyFont="1"/>
    <xf numFmtId="10" fontId="0" fillId="0" borderId="0" xfId="2" applyNumberFormat="1" applyFont="1" applyAlignment="1">
      <alignment horizontal="center"/>
    </xf>
    <xf numFmtId="166" fontId="0" fillId="11" borderId="0" xfId="0" applyNumberFormat="1" applyFill="1"/>
    <xf numFmtId="0" fontId="10" fillId="0" borderId="0" xfId="0" applyFont="1" applyAlignment="1">
      <alignment horizontal="center"/>
    </xf>
    <xf numFmtId="0" fontId="5" fillId="5" borderId="0" xfId="0" applyFont="1" applyFill="1" applyAlignment="1">
      <alignment horizontal="center" vertical="distributed"/>
    </xf>
    <xf numFmtId="0" fontId="3" fillId="5" borderId="0" xfId="0" applyFont="1" applyFill="1" applyAlignment="1">
      <alignment horizontal="center" vertical="distributed"/>
    </xf>
    <xf numFmtId="0" fontId="2" fillId="5" borderId="0" xfId="0" applyFont="1" applyFill="1" applyAlignment="1">
      <alignment horizontal="center"/>
    </xf>
    <xf numFmtId="0" fontId="9" fillId="9" borderId="0" xfId="1" applyFont="1" applyFill="1" applyAlignment="1">
      <alignment horizontal="center" vertical="distributed"/>
    </xf>
    <xf numFmtId="0" fontId="9" fillId="10" borderId="0" xfId="1" applyFont="1" applyFill="1" applyAlignment="1">
      <alignment horizontal="center" vertical="distributed"/>
    </xf>
    <xf numFmtId="0" fontId="2" fillId="5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1" fillId="5" borderId="0" xfId="0" applyFont="1" applyFill="1" applyAlignment="1">
      <alignment horizontal="center"/>
    </xf>
    <xf numFmtId="0" fontId="0" fillId="0" borderId="0" xfId="0"/>
    <xf numFmtId="0" fontId="1" fillId="5" borderId="0" xfId="0" applyFont="1" applyFill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3" fillId="5" borderId="0" xfId="0" applyFont="1" applyFill="1" applyAlignment="1">
      <alignment horizontal="center"/>
    </xf>
    <xf numFmtId="0" fontId="2" fillId="3" borderId="0" xfId="0" applyFont="1" applyFill="1" applyAlignment="1">
      <alignment horizontal="justify" vertical="center"/>
    </xf>
    <xf numFmtId="0" fontId="9" fillId="9" borderId="0" xfId="1" applyFont="1" applyFill="1" applyAlignment="1">
      <alignment horizontal="center"/>
    </xf>
    <xf numFmtId="0" fontId="9" fillId="10" borderId="0" xfId="1" applyFont="1" applyFill="1" applyAlignment="1">
      <alignment horizontal="center"/>
    </xf>
    <xf numFmtId="0" fontId="0" fillId="6" borderId="0" xfId="0" applyFill="1" applyAlignment="1">
      <alignment horizontal="center"/>
    </xf>
    <xf numFmtId="0" fontId="2" fillId="0" borderId="0" xfId="0" applyFont="1" applyAlignment="1">
      <alignment horizontal="center"/>
    </xf>
    <xf numFmtId="0" fontId="3" fillId="5" borderId="0" xfId="0" applyFont="1" applyFill="1" applyAlignment="1" applyProtection="1">
      <alignment horizontal="center" vertical="distributed"/>
      <protection locked="0"/>
    </xf>
    <xf numFmtId="4" fontId="0" fillId="0" borderId="0" xfId="0" applyNumberFormat="1" applyAlignment="1">
      <alignment horizontal="center"/>
    </xf>
    <xf numFmtId="10" fontId="0" fillId="0" borderId="0" xfId="0" applyNumberFormat="1" applyAlignment="1">
      <alignment horizontal="center"/>
    </xf>
    <xf numFmtId="40" fontId="0" fillId="0" borderId="0" xfId="0" applyNumberFormat="1" applyAlignment="1">
      <alignment horizontal="center"/>
    </xf>
  </cellXfs>
  <cellStyles count="3">
    <cellStyle name="Hyperlink" xfId="1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Finansijski proračun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FinaIndicators!$A$56</c:f>
              <c:strCache>
                <c:ptCount val="1"/>
                <c:pt idx="0">
                  <c:v>Bruto dobit, diskontovano, kumulativno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val>
            <c:numRef>
              <c:f>FinaIndicators!$E$56:$Y$56</c:f>
              <c:numCache>
                <c:formatCode>#,##0.00</c:formatCode>
                <c:ptCount val="21"/>
                <c:pt idx="1">
                  <c:v>-147436.39075738483</c:v>
                </c:pt>
                <c:pt idx="2">
                  <c:v>-150605.65034629469</c:v>
                </c:pt>
                <c:pt idx="3">
                  <c:v>-153528.54446720105</c:v>
                </c:pt>
                <c:pt idx="4">
                  <c:v>-156224.22457870867</c:v>
                </c:pt>
                <c:pt idx="5">
                  <c:v>-158710.35338221263</c:v>
                </c:pt>
                <c:pt idx="6">
                  <c:v>-161003.22055188401</c:v>
                </c:pt>
                <c:pt idx="7">
                  <c:v>-163117.84946827299</c:v>
                </c:pt>
                <c:pt idx="8">
                  <c:v>-165068.09565487143</c:v>
                </c:pt>
                <c:pt idx="9">
                  <c:v>-158218.30609751336</c:v>
                </c:pt>
                <c:pt idx="10">
                  <c:v>-151900.99157499595</c:v>
                </c:pt>
                <c:pt idx="11">
                  <c:v>-146074.7596240392</c:v>
                </c:pt>
                <c:pt idx="12">
                  <c:v>-140701.43546464274</c:v>
                </c:pt>
                <c:pt idx="13">
                  <c:v>-135745.81187035507</c:v>
                </c:pt>
                <c:pt idx="14">
                  <c:v>-131175.41848262039</c:v>
                </c:pt>
                <c:pt idx="15">
                  <c:v>-126960.30905769815</c:v>
                </c:pt>
                <c:pt idx="16">
                  <c:v>-123072.86525214979</c:v>
                </c:pt>
                <c:pt idx="17">
                  <c:v>-119487.61566125101</c:v>
                </c:pt>
                <c:pt idx="18">
                  <c:v>-116181.06892462831</c:v>
                </c:pt>
                <c:pt idx="19">
                  <c:v>-113131.55980559115</c:v>
                </c:pt>
                <c:pt idx="20">
                  <c:v>-110319.1072356361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95-4ED2-8A03-1F7ADA6D6E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-1509005120"/>
        <c:axId val="-1509002944"/>
      </c:barChart>
      <c:lineChart>
        <c:grouping val="standard"/>
        <c:varyColors val="0"/>
        <c:ser>
          <c:idx val="0"/>
          <c:order val="0"/>
          <c:tx>
            <c:strRef>
              <c:f>FinaIndicators!$A$59</c:f>
              <c:strCache>
                <c:ptCount val="1"/>
                <c:pt idx="0">
                  <c:v>Graf - Troškovi diskontovani, kumul.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FinaIndicators!$E$9:$Y$9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FinaIndicators!$E$59:$Y$59</c:f>
              <c:numCache>
                <c:formatCode>#,##0.00</c:formatCode>
                <c:ptCount val="21"/>
                <c:pt idx="0">
                  <c:v>89000</c:v>
                </c:pt>
                <c:pt idx="1">
                  <c:v>167827.57002694748</c:v>
                </c:pt>
                <c:pt idx="2">
                  <c:v>189802.88078752987</c:v>
                </c:pt>
                <c:pt idx="3">
                  <c:v>210069.91945232125</c:v>
                </c:pt>
                <c:pt idx="4">
                  <c:v>228761.48020953819</c:v>
                </c:pt>
                <c:pt idx="5">
                  <c:v>246000.03436237937</c:v>
                </c:pt>
                <c:pt idx="6">
                  <c:v>261898.53278850461</c:v>
                </c:pt>
                <c:pt idx="7">
                  <c:v>276561.146019548</c:v>
                </c:pt>
                <c:pt idx="8">
                  <c:v>290083.9467898322</c:v>
                </c:pt>
                <c:pt idx="9">
                  <c:v>293907.10806139576</c:v>
                </c:pt>
                <c:pt idx="10">
                  <c:v>297433.0721834366</c:v>
                </c:pt>
                <c:pt idx="11">
                  <c:v>300684.94206462387</c:v>
                </c:pt>
                <c:pt idx="12">
                  <c:v>303684.02468661394</c:v>
                </c:pt>
                <c:pt idx="13">
                  <c:v>306449.97071217839</c:v>
                </c:pt>
                <c:pt idx="14">
                  <c:v>309000.90324075916</c:v>
                </c:pt>
                <c:pt idx="15">
                  <c:v>311353.53655508551</c:v>
                </c:pt>
                <c:pt idx="16">
                  <c:v>313523.28563690756</c:v>
                </c:pt>
                <c:pt idx="17">
                  <c:v>315524.3671694182</c:v>
                </c:pt>
                <c:pt idx="18">
                  <c:v>317369.89268815349</c:v>
                </c:pt>
                <c:pt idx="19">
                  <c:v>319071.95449071779</c:v>
                </c:pt>
                <c:pt idx="20">
                  <c:v>320641.70486823283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95-4ED2-8A03-1F7ADA6D6E91}"/>
            </c:ext>
          </c:extLst>
        </c:ser>
        <c:ser>
          <c:idx val="1"/>
          <c:order val="1"/>
          <c:tx>
            <c:strRef>
              <c:f>FinaIndicators!$A$60</c:f>
              <c:strCache>
                <c:ptCount val="1"/>
                <c:pt idx="0">
                  <c:v>Graf - Prihodi diskontovani, kumul.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FinaIndicators!$E$60:$Y$60</c:f>
              <c:numCache>
                <c:formatCode>#,##0.00</c:formatCode>
                <c:ptCount val="21"/>
                <c:pt idx="1">
                  <c:v>20391.179269562646</c:v>
                </c:pt>
                <c:pt idx="2">
                  <c:v>39197.23044123518</c:v>
                </c:pt>
                <c:pt idx="3">
                  <c:v>56541.374985120186</c:v>
                </c:pt>
                <c:pt idx="4">
                  <c:v>72537.255630829517</c:v>
                </c:pt>
                <c:pt idx="5">
                  <c:v>87289.680980166755</c:v>
                </c:pt>
                <c:pt idx="6">
                  <c:v>100895.31223662061</c:v>
                </c:pt>
                <c:pt idx="7">
                  <c:v>113443.29655127502</c:v>
                </c:pt>
                <c:pt idx="8">
                  <c:v>125015.85113496079</c:v>
                </c:pt>
                <c:pt idx="9">
                  <c:v>135688.8019638824</c:v>
                </c:pt>
                <c:pt idx="10">
                  <c:v>145532.08060844065</c:v>
                </c:pt>
                <c:pt idx="11">
                  <c:v>154610.18244058467</c:v>
                </c:pt>
                <c:pt idx="12">
                  <c:v>162982.5892219712</c:v>
                </c:pt>
                <c:pt idx="13">
                  <c:v>170704.15884182332</c:v>
                </c:pt>
                <c:pt idx="14">
                  <c:v>177825.48475813877</c:v>
                </c:pt>
                <c:pt idx="15">
                  <c:v>184393.22749738736</c:v>
                </c:pt>
                <c:pt idx="16">
                  <c:v>190450.42038475777</c:v>
                </c:pt>
                <c:pt idx="17">
                  <c:v>196036.75150816719</c:v>
                </c:pt>
                <c:pt idx="18">
                  <c:v>201188.82376352517</c:v>
                </c:pt>
                <c:pt idx="19">
                  <c:v>205940.39468512664</c:v>
                </c:pt>
                <c:pt idx="20">
                  <c:v>210322.59763259673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095-4ED2-8A03-1F7ADA6D6E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-1509005120"/>
        <c:axId val="-1509002944"/>
      </c:lineChart>
      <c:catAx>
        <c:axId val="-1509005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509002944"/>
        <c:crosses val="autoZero"/>
        <c:auto val="1"/>
        <c:lblAlgn val="ctr"/>
        <c:lblOffset val="100"/>
        <c:noMultiLvlLbl val="0"/>
      </c:catAx>
      <c:valAx>
        <c:axId val="-1509002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5090051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Ekonomski proračun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'FinInd+CO2'!$A$57:$D$57</c:f>
              <c:strCache>
                <c:ptCount val="4"/>
                <c:pt idx="0">
                  <c:v>Bruto dobit, diskontovano, kumulativno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multiLvlStrRef>
              <c:f>#REF!</c:f>
            </c:multiLvlStrRef>
          </c:cat>
          <c:val>
            <c:numRef>
              <c:f>'FinInd+CO2'!$E$57:$Y$57</c:f>
              <c:numCache>
                <c:formatCode>#,##0.00</c:formatCode>
                <c:ptCount val="21"/>
                <c:pt idx="1">
                  <c:v>-140396.48887801109</c:v>
                </c:pt>
                <c:pt idx="2">
                  <c:v>-137073.10018812935</c:v>
                </c:pt>
                <c:pt idx="3">
                  <c:v>-134008.05834140471</c:v>
                </c:pt>
                <c:pt idx="4">
                  <c:v>-131181.28049541422</c:v>
                </c:pt>
                <c:pt idx="5">
                  <c:v>-128574.24496696886</c:v>
                </c:pt>
                <c:pt idx="6">
                  <c:v>-126169.86987388661</c:v>
                </c:pt>
                <c:pt idx="7">
                  <c:v>-123952.40121066451</c:v>
                </c:pt>
                <c:pt idx="8">
                  <c:v>-121907.30962469714</c:v>
                </c:pt>
                <c:pt idx="9">
                  <c:v>-111372.76375159508</c:v>
                </c:pt>
                <c:pt idx="10">
                  <c:v>-101657.131019377</c:v>
                </c:pt>
                <c:pt idx="11">
                  <c:v>-92696.752420773846</c:v>
                </c:pt>
                <c:pt idx="12">
                  <c:v>-84432.917543189338</c:v>
                </c:pt>
                <c:pt idx="13">
                  <c:v>-76811.479884893488</c:v>
                </c:pt>
                <c:pt idx="14">
                  <c:v>-69782.502074984892</c:v>
                </c:pt>
                <c:pt idx="15">
                  <c:v>-63299.928672523354</c:v>
                </c:pt>
                <c:pt idx="16">
                  <c:v>-57321.284400939243</c:v>
                </c:pt>
                <c:pt idx="17">
                  <c:v>-51807.395840483834</c:v>
                </c:pt>
                <c:pt idx="18">
                  <c:v>-46722.134755186678</c:v>
                </c:pt>
                <c:pt idx="19">
                  <c:v>-42032.181372541352</c:v>
                </c:pt>
                <c:pt idx="20">
                  <c:v>-37706.806064873876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00-4712-982F-58D636032D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-1509001312"/>
        <c:axId val="-1509009472"/>
      </c:barChart>
      <c:lineChart>
        <c:grouping val="standard"/>
        <c:varyColors val="0"/>
        <c:ser>
          <c:idx val="0"/>
          <c:order val="0"/>
          <c:tx>
            <c:strRef>
              <c:f>'FinInd+CO2'!$A$60:$D$60</c:f>
              <c:strCache>
                <c:ptCount val="4"/>
                <c:pt idx="0">
                  <c:v>Graf - Troškovi diskontovani, kumul.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FinaIndicators!$E$9:$Y$9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'FinInd+CO2'!$E$60:$Y$60</c:f>
              <c:numCache>
                <c:formatCode>#,##0.00</c:formatCode>
                <c:ptCount val="21"/>
                <c:pt idx="0">
                  <c:v>144000</c:v>
                </c:pt>
                <c:pt idx="1">
                  <c:v>167827.57002694748</c:v>
                </c:pt>
                <c:pt idx="2">
                  <c:v>189802.88078752987</c:v>
                </c:pt>
                <c:pt idx="3">
                  <c:v>210069.91945232125</c:v>
                </c:pt>
                <c:pt idx="4">
                  <c:v>228761.48020953819</c:v>
                </c:pt>
                <c:pt idx="5">
                  <c:v>246000.03436237937</c:v>
                </c:pt>
                <c:pt idx="6">
                  <c:v>261898.53278850461</c:v>
                </c:pt>
                <c:pt idx="7">
                  <c:v>276561.146019548</c:v>
                </c:pt>
                <c:pt idx="8">
                  <c:v>290083.9467898322</c:v>
                </c:pt>
                <c:pt idx="9">
                  <c:v>293907.10806139576</c:v>
                </c:pt>
                <c:pt idx="10">
                  <c:v>297433.0721834366</c:v>
                </c:pt>
                <c:pt idx="11">
                  <c:v>300684.94206462387</c:v>
                </c:pt>
                <c:pt idx="12">
                  <c:v>303684.02468661394</c:v>
                </c:pt>
                <c:pt idx="13">
                  <c:v>306449.97071217839</c:v>
                </c:pt>
                <c:pt idx="14">
                  <c:v>309000.90324075916</c:v>
                </c:pt>
                <c:pt idx="15">
                  <c:v>311353.53655508551</c:v>
                </c:pt>
                <c:pt idx="16">
                  <c:v>313523.28563690756</c:v>
                </c:pt>
                <c:pt idx="17">
                  <c:v>315524.3671694182</c:v>
                </c:pt>
                <c:pt idx="18">
                  <c:v>317369.89268815349</c:v>
                </c:pt>
                <c:pt idx="19">
                  <c:v>319071.95449071779</c:v>
                </c:pt>
                <c:pt idx="20">
                  <c:v>320641.70486823283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D00-4712-982F-58D636032D1A}"/>
            </c:ext>
          </c:extLst>
        </c:ser>
        <c:ser>
          <c:idx val="1"/>
          <c:order val="1"/>
          <c:tx>
            <c:strRef>
              <c:f>'FinInd+CO2'!$A$61:$D$61</c:f>
              <c:strCache>
                <c:ptCount val="4"/>
                <c:pt idx="0">
                  <c:v>Graf - Prihodi diskontovani, kumul.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FinaIndicators!$E$60:$Y$60</c:f>
              <c:numCache>
                <c:formatCode>#,##0.00</c:formatCode>
                <c:ptCount val="21"/>
                <c:pt idx="1">
                  <c:v>20391.179269562646</c:v>
                </c:pt>
                <c:pt idx="2">
                  <c:v>39197.23044123518</c:v>
                </c:pt>
                <c:pt idx="3">
                  <c:v>56541.374985120186</c:v>
                </c:pt>
                <c:pt idx="4">
                  <c:v>72537.255630829517</c:v>
                </c:pt>
                <c:pt idx="5">
                  <c:v>87289.680980166755</c:v>
                </c:pt>
                <c:pt idx="6">
                  <c:v>100895.31223662061</c:v>
                </c:pt>
                <c:pt idx="7">
                  <c:v>113443.29655127502</c:v>
                </c:pt>
                <c:pt idx="8">
                  <c:v>125015.85113496079</c:v>
                </c:pt>
                <c:pt idx="9">
                  <c:v>135688.8019638824</c:v>
                </c:pt>
                <c:pt idx="10">
                  <c:v>145532.08060844065</c:v>
                </c:pt>
                <c:pt idx="11">
                  <c:v>154610.18244058467</c:v>
                </c:pt>
                <c:pt idx="12">
                  <c:v>162982.5892219712</c:v>
                </c:pt>
                <c:pt idx="13">
                  <c:v>170704.15884182332</c:v>
                </c:pt>
                <c:pt idx="14">
                  <c:v>177825.48475813877</c:v>
                </c:pt>
                <c:pt idx="15">
                  <c:v>184393.22749738736</c:v>
                </c:pt>
                <c:pt idx="16">
                  <c:v>190450.42038475777</c:v>
                </c:pt>
                <c:pt idx="17">
                  <c:v>196036.75150816719</c:v>
                </c:pt>
                <c:pt idx="18">
                  <c:v>201188.82376352517</c:v>
                </c:pt>
                <c:pt idx="19">
                  <c:v>205940.39468512664</c:v>
                </c:pt>
                <c:pt idx="20">
                  <c:v>210322.59763259673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D00-4712-982F-58D636032D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-1509001312"/>
        <c:axId val="-1509009472"/>
      </c:lineChart>
      <c:catAx>
        <c:axId val="-15090013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509009472"/>
        <c:crosses val="autoZero"/>
        <c:auto val="1"/>
        <c:lblAlgn val="ctr"/>
        <c:lblOffset val="100"/>
        <c:noMultiLvlLbl val="0"/>
      </c:catAx>
      <c:valAx>
        <c:axId val="-15090094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5090013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DHC Korist ako ESCO investira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-1515511648"/>
        <c:axId val="-1515511104"/>
        <c:extLst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v>EBTDA diskontovano, kumulativno</c:v>
                </c:tx>
                <c:spPr>
                  <a:gradFill rotWithShape="1">
                    <a:gsLst>
                      <a:gs pos="0">
                        <a:schemeClr val="accent3">
                          <a:satMod val="103000"/>
                          <a:lumMod val="102000"/>
                          <a:tint val="94000"/>
                        </a:schemeClr>
                      </a:gs>
                      <a:gs pos="50000">
                        <a:schemeClr val="accent3">
                          <a:satMod val="110000"/>
                          <a:lumMod val="100000"/>
                          <a:shade val="100000"/>
                        </a:schemeClr>
                      </a:gs>
                      <a:gs pos="100000">
                        <a:schemeClr val="accent3">
                          <a:lumMod val="99000"/>
                          <a:satMod val="120000"/>
                          <a:shade val="78000"/>
                        </a:schemeClr>
                      </a:gs>
                    </a:gsLst>
                    <a:lin ang="5400000" scaled="0"/>
                  </a:gradFill>
                  <a:ln>
                    <a:noFill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invertIfNegative val="0"/>
                <c:val>
                  <c:numLit>
                    <c:formatCode>General</c:formatCode>
                    <c:ptCount val="21"/>
                    <c:pt idx="1">
                      <c:v>-127314.3846725547</c:v>
                    </c:pt>
                    <c:pt idx="2">
                      <c:v>-105377.81555243285</c:v>
                    </c:pt>
                    <c:pt idx="3">
                      <c:v>-83007.129023242771</c:v>
                    </c:pt>
                    <c:pt idx="4">
                      <c:v>-60191.472149757727</c:v>
                    </c:pt>
                    <c:pt idx="5">
                      <c:v>-36919.720673370408</c:v>
                    </c:pt>
                    <c:pt idx="6">
                      <c:v>-13180.472229008214</c:v>
                    </c:pt>
                    <c:pt idx="7">
                      <c:v>11037.960607528221</c:v>
                    </c:pt>
                    <c:pt idx="8">
                      <c:v>35747.55744604324</c:v>
                    </c:pt>
                    <c:pt idx="9">
                      <c:v>60960.597386586305</c:v>
                    </c:pt>
                    <c:pt idx="10">
                      <c:v>86173.637327129371</c:v>
                    </c:pt>
                    <c:pt idx="11">
                      <c:v>111386.67726767249</c:v>
                    </c:pt>
                    <c:pt idx="12">
                      <c:v>136599.71720821562</c:v>
                    </c:pt>
                    <c:pt idx="13">
                      <c:v>161812.75714875874</c:v>
                    </c:pt>
                    <c:pt idx="14">
                      <c:v>187025.79708930186</c:v>
                    </c:pt>
                    <c:pt idx="15">
                      <c:v>212238.83702984499</c:v>
                    </c:pt>
                    <c:pt idx="16">
                      <c:v>237451.87697038811</c:v>
                    </c:pt>
                    <c:pt idx="17">
                      <c:v>262664.91691093124</c:v>
                    </c:pt>
                    <c:pt idx="18">
                      <c:v>287877.95685147436</c:v>
                    </c:pt>
                    <c:pt idx="19">
                      <c:v>313090.99679201748</c:v>
                    </c:pt>
                    <c:pt idx="20">
                      <c:v>338304.03673256061</c:v>
                    </c:pt>
                  </c:numLit>
                </c:val>
                <c:extLst>
                  <c:ext xmlns:c16="http://schemas.microsoft.com/office/drawing/2014/chart" uri="{C3380CC4-5D6E-409C-BE32-E72D297353CC}">
                    <c16:uniqueId val="{00000003-C211-4810-871C-F9D601A08C6E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v>Korist kompanije za daljinsko grejanje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AkoESCO!$F$13:$Y$13</c:f>
              <c:numCache>
                <c:formatCode>#,##0.00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211-4810-871C-F9D601A08C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-1515511648"/>
        <c:axId val="-1515511104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v>Graf - Troškovi diskontovano kumul.</c:v>
                </c:tx>
                <c:spPr>
                  <a:ln w="34925" cap="rnd">
                    <a:solidFill>
                      <a:schemeClr val="accent1"/>
                    </a:solidFill>
                    <a:round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marker>
                  <c:symbol val="none"/>
                </c:marker>
                <c:cat>
                  <c:numLit>
                    <c:formatCode>General</c:formatCode>
                    <c:ptCount val="21"/>
                    <c:pt idx="0">
                      <c:v>0</c:v>
                    </c:pt>
                    <c:pt idx="1">
                      <c:v>1</c:v>
                    </c:pt>
                    <c:pt idx="2">
                      <c:v>2</c:v>
                    </c:pt>
                    <c:pt idx="3">
                      <c:v>3</c:v>
                    </c:pt>
                    <c:pt idx="4">
                      <c:v>4</c:v>
                    </c:pt>
                    <c:pt idx="5">
                      <c:v>5</c:v>
                    </c:pt>
                    <c:pt idx="6">
                      <c:v>6</c:v>
                    </c:pt>
                    <c:pt idx="7">
                      <c:v>7</c:v>
                    </c:pt>
                    <c:pt idx="8">
                      <c:v>8</c:v>
                    </c:pt>
                    <c:pt idx="9">
                      <c:v>9</c:v>
                    </c:pt>
                    <c:pt idx="10">
                      <c:v>10</c:v>
                    </c:pt>
                    <c:pt idx="11">
                      <c:v>11</c:v>
                    </c:pt>
                    <c:pt idx="12">
                      <c:v>12</c:v>
                    </c:pt>
                    <c:pt idx="13">
                      <c:v>13</c:v>
                    </c:pt>
                    <c:pt idx="14">
                      <c:v>14</c:v>
                    </c:pt>
                    <c:pt idx="15">
                      <c:v>15</c:v>
                    </c:pt>
                    <c:pt idx="16">
                      <c:v>16</c:v>
                    </c:pt>
                    <c:pt idx="17">
                      <c:v>17</c:v>
                    </c:pt>
                    <c:pt idx="18">
                      <c:v>18</c:v>
                    </c:pt>
                    <c:pt idx="19">
                      <c:v>19</c:v>
                    </c:pt>
                    <c:pt idx="20">
                      <c:v>20</c:v>
                    </c:pt>
                  </c:numLit>
                </c:cat>
                <c:val>
                  <c:numLit>
                    <c:formatCode>General</c:formatCode>
                    <c:ptCount val="21"/>
                    <c:pt idx="0">
                      <c:v>148000</c:v>
                    </c:pt>
                    <c:pt idx="1">
                      <c:v>187180.87299191946</c:v>
                    </c:pt>
                    <c:pt idx="2">
                      <c:v>227505.45172393695</c:v>
                    </c:pt>
                    <c:pt idx="3">
                      <c:v>267395.91304688621</c:v>
                    </c:pt>
                    <c:pt idx="4">
                      <c:v>306841.40402554051</c:v>
                    </c:pt>
                    <c:pt idx="5">
                      <c:v>345830.80040129251</c:v>
                    </c:pt>
                    <c:pt idx="6">
                      <c:v>384352.69980906963</c:v>
                    </c:pt>
                    <c:pt idx="7">
                      <c:v>422395.41482467251</c:v>
                    </c:pt>
                    <c:pt idx="8">
                      <c:v>459946.9658382968</c:v>
                    </c:pt>
                    <c:pt idx="9">
                      <c:v>496995.07374989305</c:v>
                    </c:pt>
                    <c:pt idx="10">
                      <c:v>534043.1816614893</c:v>
                    </c:pt>
                    <c:pt idx="11">
                      <c:v>571091.28957308549</c:v>
                    </c:pt>
                    <c:pt idx="12">
                      <c:v>608139.39748468169</c:v>
                    </c:pt>
                    <c:pt idx="13">
                      <c:v>645187.50539627788</c:v>
                    </c:pt>
                    <c:pt idx="14">
                      <c:v>682235.61330787407</c:v>
                    </c:pt>
                    <c:pt idx="15">
                      <c:v>719283.72121947026</c:v>
                    </c:pt>
                    <c:pt idx="16">
                      <c:v>756331.82913106645</c:v>
                    </c:pt>
                    <c:pt idx="17">
                      <c:v>793379.93704266264</c:v>
                    </c:pt>
                    <c:pt idx="18">
                      <c:v>830428.04495425883</c:v>
                    </c:pt>
                    <c:pt idx="19">
                      <c:v>867476.15286585502</c:v>
                    </c:pt>
                    <c:pt idx="20">
                      <c:v>904524.26077745121</c:v>
                    </c:pt>
                  </c:numLit>
                </c:val>
                <c:smooth val="0"/>
                <c:extLst>
                  <c:ext xmlns:c16="http://schemas.microsoft.com/office/drawing/2014/chart" uri="{C3380CC4-5D6E-409C-BE32-E72D297353CC}">
                    <c16:uniqueId val="{00000001-C211-4810-871C-F9D601A08C6E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v>Graf - Prihodi diskontovano kumul.</c:v>
                </c:tx>
                <c:spPr>
                  <a:ln w="34925" cap="rnd">
                    <a:solidFill>
                      <a:schemeClr val="accent2"/>
                    </a:solidFill>
                    <a:round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marker>
                  <c:symbol val="none"/>
                </c:marker>
                <c:val>
                  <c:numLit>
                    <c:formatCode>General</c:formatCode>
                    <c:ptCount val="21"/>
                    <c:pt idx="1">
                      <c:v>59866.488319364747</c:v>
                    </c:pt>
                    <c:pt idx="2">
                      <c:v>122127.6361715041</c:v>
                    </c:pt>
                    <c:pt idx="3">
                      <c:v>184388.78402364344</c:v>
                    </c:pt>
                    <c:pt idx="4">
                      <c:v>246649.93187578279</c:v>
                    </c:pt>
                    <c:pt idx="5">
                      <c:v>308911.0797279221</c:v>
                    </c:pt>
                    <c:pt idx="6">
                      <c:v>371172.22758006142</c:v>
                    </c:pt>
                    <c:pt idx="7">
                      <c:v>433433.37543220073</c:v>
                    </c:pt>
                    <c:pt idx="8">
                      <c:v>495694.52328434004</c:v>
                    </c:pt>
                    <c:pt idx="9">
                      <c:v>557955.67113647936</c:v>
                    </c:pt>
                    <c:pt idx="10">
                      <c:v>620216.81898861867</c:v>
                    </c:pt>
                    <c:pt idx="11">
                      <c:v>682477.96684075799</c:v>
                    </c:pt>
                    <c:pt idx="12">
                      <c:v>744739.1146928973</c:v>
                    </c:pt>
                    <c:pt idx="13">
                      <c:v>807000.26254503662</c:v>
                    </c:pt>
                    <c:pt idx="14">
                      <c:v>869261.41039717593</c:v>
                    </c:pt>
                    <c:pt idx="15">
                      <c:v>931522.55824931525</c:v>
                    </c:pt>
                    <c:pt idx="16">
                      <c:v>993783.70610145456</c:v>
                    </c:pt>
                    <c:pt idx="17">
                      <c:v>1056044.8539535939</c:v>
                    </c:pt>
                    <c:pt idx="18">
                      <c:v>1118306.0018057332</c:v>
                    </c:pt>
                    <c:pt idx="19">
                      <c:v>1180567.1496578725</c:v>
                    </c:pt>
                    <c:pt idx="20">
                      <c:v>1242828.2975100118</c:v>
                    </c:pt>
                  </c:numLit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C211-4810-871C-F9D601A08C6E}"/>
                  </c:ext>
                </c:extLst>
              </c15:ser>
            </c15:filteredLineSeries>
          </c:ext>
        </c:extLst>
      </c:lineChart>
      <c:catAx>
        <c:axId val="-15155116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515511104"/>
        <c:crosses val="autoZero"/>
        <c:auto val="1"/>
        <c:lblAlgn val="ctr"/>
        <c:lblOffset val="100"/>
        <c:noMultiLvlLbl val="0"/>
      </c:catAx>
      <c:valAx>
        <c:axId val="-1515511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515511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Pocetna!B2"/><Relationship Id="rId1" Type="http://schemas.openxmlformats.org/officeDocument/2006/relationships/chart" Target="../charts/chart3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Pocetna!B2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Pocetna!B2"/><Relationship Id="rId1" Type="http://schemas.openxmlformats.org/officeDocument/2006/relationships/chart" Target="../charts/chart2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85725</xdr:colOff>
      <xdr:row>6</xdr:row>
      <xdr:rowOff>114300</xdr:rowOff>
    </xdr:from>
    <xdr:to>
      <xdr:col>11</xdr:col>
      <xdr:colOff>523875</xdr:colOff>
      <xdr:row>8</xdr:row>
      <xdr:rowOff>75853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877050" y="114300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172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95250</xdr:colOff>
      <xdr:row>33</xdr:row>
      <xdr:rowOff>9525</xdr:rowOff>
    </xdr:from>
    <xdr:to>
      <xdr:col>2</xdr:col>
      <xdr:colOff>533400</xdr:colOff>
      <xdr:row>35</xdr:row>
      <xdr:rowOff>18703</xdr:rowOff>
    </xdr:to>
    <xdr:pic>
      <xdr:nvPicPr>
        <xdr:cNvPr id="4" name="Pictur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14450" y="1876425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50800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674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85725</xdr:colOff>
      <xdr:row>6</xdr:row>
      <xdr:rowOff>104775</xdr:rowOff>
    </xdr:from>
    <xdr:to>
      <xdr:col>11</xdr:col>
      <xdr:colOff>523875</xdr:colOff>
      <xdr:row>8</xdr:row>
      <xdr:rowOff>66328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953250" y="104775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9</xdr:row>
      <xdr:rowOff>9525</xdr:rowOff>
    </xdr:from>
    <xdr:to>
      <xdr:col>16</xdr:col>
      <xdr:colOff>561975</xdr:colOff>
      <xdr:row>29</xdr:row>
      <xdr:rowOff>47625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95250</xdr:colOff>
      <xdr:row>9</xdr:row>
      <xdr:rowOff>161925</xdr:rowOff>
    </xdr:from>
    <xdr:to>
      <xdr:col>2</xdr:col>
      <xdr:colOff>533400</xdr:colOff>
      <xdr:row>11</xdr:row>
      <xdr:rowOff>171103</xdr:rowOff>
    </xdr:to>
    <xdr:pic>
      <xdr:nvPicPr>
        <xdr:cNvPr id="5" name="Picture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14450" y="733425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95250</xdr:colOff>
      <xdr:row>19</xdr:row>
      <xdr:rowOff>0</xdr:rowOff>
    </xdr:from>
    <xdr:to>
      <xdr:col>3</xdr:col>
      <xdr:colOff>533400</xdr:colOff>
      <xdr:row>21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24050" y="2476500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1689100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579120</xdr:colOff>
      <xdr:row>4</xdr:row>
      <xdr:rowOff>7620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390525</xdr:colOff>
      <xdr:row>11</xdr:row>
      <xdr:rowOff>133350</xdr:rowOff>
    </xdr:from>
    <xdr:to>
      <xdr:col>15</xdr:col>
      <xdr:colOff>219075</xdr:colOff>
      <xdr:row>13</xdr:row>
      <xdr:rowOff>142528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887075" y="1276350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1992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104775</xdr:colOff>
      <xdr:row>11</xdr:row>
      <xdr:rowOff>47625</xdr:rowOff>
    </xdr:from>
    <xdr:to>
      <xdr:col>13</xdr:col>
      <xdr:colOff>542925</xdr:colOff>
      <xdr:row>12</xdr:row>
      <xdr:rowOff>218728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163175" y="1266825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29600" y="190500"/>
          <a:ext cx="579120" cy="598170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579120</xdr:colOff>
      <xdr:row>5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3810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104775</xdr:colOff>
      <xdr:row>11</xdr:row>
      <xdr:rowOff>57150</xdr:rowOff>
    </xdr:from>
    <xdr:to>
      <xdr:col>10</xdr:col>
      <xdr:colOff>542925</xdr:colOff>
      <xdr:row>13</xdr:row>
      <xdr:rowOff>66328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610725" y="1276350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1079500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178584</xdr:colOff>
      <xdr:row>6</xdr:row>
      <xdr:rowOff>0</xdr:rowOff>
    </xdr:from>
    <xdr:to>
      <xdr:col>11</xdr:col>
      <xdr:colOff>616734</xdr:colOff>
      <xdr:row>7</xdr:row>
      <xdr:rowOff>128241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465334" y="0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477044</xdr:colOff>
      <xdr:row>4</xdr:row>
      <xdr:rowOff>137660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2857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00938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178584</xdr:colOff>
      <xdr:row>6</xdr:row>
      <xdr:rowOff>0</xdr:rowOff>
    </xdr:from>
    <xdr:to>
      <xdr:col>11</xdr:col>
      <xdr:colOff>616734</xdr:colOff>
      <xdr:row>7</xdr:row>
      <xdr:rowOff>128241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874A9B3-BD17-4C2A-8F04-AA5F8E485D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484384" y="1162050"/>
          <a:ext cx="438150" cy="39494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477044</xdr:colOff>
      <xdr:row>4</xdr:row>
      <xdr:rowOff>137660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id="{E5A57491-C7AF-4DA9-84CA-CABFE941C6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305844" cy="918710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2857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EB5A508C-2FE8-477E-8056-A34C2A0411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0" y="190500"/>
          <a:ext cx="579120" cy="593407"/>
        </a:xfrm>
        <a:prstGeom prst="rect">
          <a:avLst/>
        </a:prstGeom>
        <a:noFill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542925</xdr:colOff>
      <xdr:row>7</xdr:row>
      <xdr:rowOff>9525</xdr:rowOff>
    </xdr:from>
    <xdr:to>
      <xdr:col>15</xdr:col>
      <xdr:colOff>495300</xdr:colOff>
      <xdr:row>27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390525</xdr:colOff>
      <xdr:row>12</xdr:row>
      <xdr:rowOff>76200</xdr:rowOff>
    </xdr:from>
    <xdr:to>
      <xdr:col>2</xdr:col>
      <xdr:colOff>219075</xdr:colOff>
      <xdr:row>14</xdr:row>
      <xdr:rowOff>85378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0125" y="1219200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542925</xdr:colOff>
      <xdr:row>7</xdr:row>
      <xdr:rowOff>9525</xdr:rowOff>
    </xdr:from>
    <xdr:to>
      <xdr:col>15</xdr:col>
      <xdr:colOff>495300</xdr:colOff>
      <xdr:row>27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390525</xdr:colOff>
      <xdr:row>12</xdr:row>
      <xdr:rowOff>47625</xdr:rowOff>
    </xdr:from>
    <xdr:to>
      <xdr:col>2</xdr:col>
      <xdr:colOff>219075</xdr:colOff>
      <xdr:row>14</xdr:row>
      <xdr:rowOff>56803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0125" y="1190625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PROJEKAT%20-%20POCETNA%20STRANA.xlsx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3:R24"/>
  <sheetViews>
    <sheetView workbookViewId="0">
      <selection activeCell="N26" sqref="N25:N26"/>
    </sheetView>
  </sheetViews>
  <sheetFormatPr defaultRowHeight="15" x14ac:dyDescent="0.25"/>
  <sheetData>
    <row r="3" spans="2:18" ht="16.5" x14ac:dyDescent="0.35">
      <c r="F3" s="56" t="s">
        <v>158</v>
      </c>
      <c r="G3" s="56"/>
      <c r="H3" s="56"/>
      <c r="I3" s="56"/>
    </row>
    <row r="7" spans="2:18" x14ac:dyDescent="0.25">
      <c r="B7" s="57" t="s">
        <v>0</v>
      </c>
      <c r="C7" s="57"/>
      <c r="D7" s="57"/>
      <c r="E7" s="57"/>
      <c r="F7" s="57"/>
      <c r="G7" s="57"/>
      <c r="H7" s="57"/>
      <c r="I7" s="57"/>
      <c r="J7" s="57"/>
      <c r="K7" s="57"/>
    </row>
    <row r="8" spans="2:18" x14ac:dyDescent="0.25">
      <c r="B8" s="57"/>
      <c r="C8" s="57"/>
      <c r="D8" s="57"/>
      <c r="E8" s="57"/>
      <c r="F8" s="57"/>
      <c r="G8" s="57"/>
      <c r="H8" s="57"/>
      <c r="I8" s="57"/>
      <c r="J8" s="57"/>
      <c r="K8" s="57"/>
    </row>
    <row r="9" spans="2:18" x14ac:dyDescent="0.25">
      <c r="B9" s="57"/>
      <c r="C9" s="57"/>
      <c r="D9" s="57"/>
      <c r="E9" s="57"/>
      <c r="F9" s="57"/>
      <c r="G9" s="57"/>
      <c r="H9" s="57"/>
      <c r="I9" s="57"/>
      <c r="J9" s="57"/>
      <c r="K9" s="57"/>
      <c r="M9" s="58" t="s">
        <v>2</v>
      </c>
      <c r="N9" s="58"/>
      <c r="O9" s="58"/>
      <c r="P9" s="58"/>
      <c r="Q9" s="58"/>
      <c r="R9" s="58"/>
    </row>
    <row r="10" spans="2:18" x14ac:dyDescent="0.25">
      <c r="B10" s="57"/>
      <c r="C10" s="57"/>
      <c r="D10" s="57"/>
      <c r="E10" s="57"/>
      <c r="F10" s="57"/>
      <c r="G10" s="57"/>
      <c r="H10" s="57"/>
      <c r="I10" s="57"/>
      <c r="J10" s="57"/>
      <c r="K10" s="57"/>
      <c r="M10" s="58"/>
      <c r="N10" s="58"/>
      <c r="O10" s="58"/>
      <c r="P10" s="58"/>
      <c r="Q10" s="58"/>
      <c r="R10" s="58"/>
    </row>
    <row r="11" spans="2:18" x14ac:dyDescent="0.25">
      <c r="B11" s="57"/>
      <c r="C11" s="57"/>
      <c r="D11" s="57"/>
      <c r="E11" s="57"/>
      <c r="F11" s="57"/>
      <c r="G11" s="57"/>
      <c r="H11" s="57"/>
      <c r="I11" s="57"/>
      <c r="J11" s="57"/>
      <c r="K11" s="57"/>
    </row>
    <row r="12" spans="2:18" x14ac:dyDescent="0.25">
      <c r="B12" s="57"/>
      <c r="C12" s="57"/>
      <c r="D12" s="57"/>
      <c r="E12" s="57"/>
      <c r="F12" s="57"/>
      <c r="G12" s="57"/>
      <c r="H12" s="57"/>
      <c r="I12" s="57"/>
      <c r="J12" s="57"/>
      <c r="K12" s="57"/>
      <c r="M12" s="59" t="s">
        <v>42</v>
      </c>
      <c r="N12" s="59"/>
      <c r="O12" s="59"/>
      <c r="P12" s="59"/>
      <c r="Q12" s="59"/>
      <c r="R12" s="59"/>
    </row>
    <row r="13" spans="2:18" x14ac:dyDescent="0.25">
      <c r="B13" s="57"/>
      <c r="C13" s="57"/>
      <c r="D13" s="57"/>
      <c r="E13" s="57"/>
      <c r="F13" s="57"/>
      <c r="G13" s="57"/>
      <c r="H13" s="57"/>
      <c r="I13" s="57"/>
      <c r="J13" s="57"/>
      <c r="K13" s="57"/>
    </row>
    <row r="14" spans="2:18" x14ac:dyDescent="0.25">
      <c r="B14" s="57"/>
      <c r="C14" s="57"/>
      <c r="D14" s="57"/>
      <c r="E14" s="57"/>
      <c r="F14" s="57"/>
      <c r="G14" s="57"/>
      <c r="H14" s="57"/>
      <c r="I14" s="57"/>
      <c r="J14" s="57"/>
      <c r="K14" s="57"/>
      <c r="M14" s="60" t="s">
        <v>138</v>
      </c>
      <c r="N14" s="60"/>
      <c r="Q14" s="61" t="s">
        <v>139</v>
      </c>
      <c r="R14" s="61"/>
    </row>
    <row r="15" spans="2:18" x14ac:dyDescent="0.25">
      <c r="B15" s="57"/>
      <c r="C15" s="57"/>
      <c r="D15" s="57"/>
      <c r="E15" s="57"/>
      <c r="F15" s="57"/>
      <c r="G15" s="57"/>
      <c r="H15" s="57"/>
      <c r="I15" s="57"/>
      <c r="J15" s="57"/>
      <c r="K15" s="57"/>
      <c r="M15" s="60"/>
      <c r="N15" s="60"/>
      <c r="Q15" s="61"/>
      <c r="R15" s="61"/>
    </row>
    <row r="16" spans="2:18" x14ac:dyDescent="0.25">
      <c r="B16" s="57"/>
      <c r="C16" s="57"/>
      <c r="D16" s="57"/>
      <c r="E16" s="57"/>
      <c r="F16" s="57"/>
      <c r="G16" s="57"/>
      <c r="H16" s="57"/>
      <c r="I16" s="57"/>
      <c r="J16" s="57"/>
      <c r="K16" s="57"/>
    </row>
    <row r="17" spans="2:11" x14ac:dyDescent="0.25">
      <c r="B17" s="57"/>
      <c r="C17" s="57"/>
      <c r="D17" s="57"/>
      <c r="E17" s="57"/>
      <c r="F17" s="57"/>
      <c r="G17" s="57"/>
      <c r="H17" s="57"/>
      <c r="I17" s="57"/>
      <c r="J17" s="57"/>
      <c r="K17" s="57"/>
    </row>
    <row r="18" spans="2:11" x14ac:dyDescent="0.25">
      <c r="B18" s="57"/>
      <c r="C18" s="57"/>
      <c r="D18" s="57"/>
      <c r="E18" s="57"/>
      <c r="F18" s="57"/>
      <c r="G18" s="57"/>
      <c r="H18" s="57"/>
      <c r="I18" s="57"/>
      <c r="J18" s="57"/>
      <c r="K18" s="57"/>
    </row>
    <row r="19" spans="2:11" x14ac:dyDescent="0.25">
      <c r="B19" s="57"/>
      <c r="C19" s="57"/>
      <c r="D19" s="57"/>
      <c r="E19" s="57"/>
      <c r="F19" s="57"/>
      <c r="G19" s="57"/>
      <c r="H19" s="57"/>
      <c r="I19" s="57"/>
      <c r="J19" s="57"/>
      <c r="K19" s="57"/>
    </row>
    <row r="20" spans="2:11" x14ac:dyDescent="0.25">
      <c r="B20" s="57"/>
      <c r="C20" s="57"/>
      <c r="D20" s="57"/>
      <c r="E20" s="57"/>
      <c r="F20" s="57"/>
      <c r="G20" s="57"/>
      <c r="H20" s="57"/>
      <c r="I20" s="57"/>
      <c r="J20" s="57"/>
      <c r="K20" s="57"/>
    </row>
    <row r="21" spans="2:11" x14ac:dyDescent="0.25">
      <c r="B21" s="57"/>
      <c r="C21" s="57"/>
      <c r="D21" s="57"/>
      <c r="E21" s="57"/>
      <c r="F21" s="57"/>
      <c r="G21" s="57"/>
      <c r="H21" s="57"/>
      <c r="I21" s="57"/>
      <c r="J21" s="57"/>
      <c r="K21" s="57"/>
    </row>
    <row r="22" spans="2:11" x14ac:dyDescent="0.25">
      <c r="B22" s="57"/>
      <c r="C22" s="57"/>
      <c r="D22" s="57"/>
      <c r="E22" s="57"/>
      <c r="F22" s="57"/>
      <c r="G22" s="57"/>
      <c r="H22" s="57"/>
      <c r="I22" s="57"/>
      <c r="J22" s="57"/>
      <c r="K22" s="57"/>
    </row>
    <row r="23" spans="2:11" x14ac:dyDescent="0.25">
      <c r="B23" s="57"/>
      <c r="C23" s="57"/>
      <c r="D23" s="57"/>
      <c r="E23" s="57"/>
      <c r="F23" s="57"/>
      <c r="G23" s="57"/>
      <c r="H23" s="57"/>
      <c r="I23" s="57"/>
      <c r="J23" s="57"/>
      <c r="K23" s="57"/>
    </row>
    <row r="24" spans="2:11" x14ac:dyDescent="0.25">
      <c r="B24" s="57"/>
      <c r="C24" s="57"/>
      <c r="D24" s="57"/>
      <c r="E24" s="57"/>
      <c r="F24" s="57"/>
      <c r="G24" s="57"/>
      <c r="H24" s="57"/>
      <c r="I24" s="57"/>
      <c r="J24" s="57"/>
      <c r="K24" s="57"/>
    </row>
  </sheetData>
  <sheetProtection selectLockedCells="1"/>
  <mergeCells count="6">
    <mergeCell ref="F3:I3"/>
    <mergeCell ref="B7:K24"/>
    <mergeCell ref="M9:R10"/>
    <mergeCell ref="M12:R12"/>
    <mergeCell ref="M14:N15"/>
    <mergeCell ref="Q14:R15"/>
  </mergeCells>
  <hyperlinks>
    <hyperlink ref="M14:N15" r:id="rId1" display="NAZAD" xr:uid="{00000000-0004-0000-0000-000000000000}"/>
    <hyperlink ref="Q14:R15" location="UnosPodataka!B2" display="DALJE" xr:uid="{00000000-0004-0000-0000-000001000000}"/>
  </hyperlinks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Ograničenje" error="Može se izabrati samo projekat sa liste" promptTitle="Projekat koji se analizira" prompt="Izaberi projekat koji će se analizirati" xr:uid="{00000000-0002-0000-0000-000000000000}">
          <x14:formula1>
            <xm:f>PomTab1!$B$7:$B$23</xm:f>
          </x14:formula1>
          <xm:sqref>M12:R12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3:AB20"/>
  <sheetViews>
    <sheetView workbookViewId="0">
      <selection activeCell="G26" sqref="G26"/>
    </sheetView>
  </sheetViews>
  <sheetFormatPr defaultRowHeight="15" x14ac:dyDescent="0.25"/>
  <cols>
    <col min="6" max="6" width="10.42578125" customWidth="1"/>
  </cols>
  <sheetData>
    <row r="3" spans="1:28" ht="16.5" x14ac:dyDescent="0.35">
      <c r="F3" s="56" t="s">
        <v>158</v>
      </c>
      <c r="G3" s="56"/>
      <c r="H3" s="56"/>
      <c r="I3" s="56"/>
    </row>
    <row r="7" spans="1:28" ht="18.75" x14ac:dyDescent="0.3">
      <c r="A7" s="74" t="s">
        <v>130</v>
      </c>
      <c r="B7" s="74"/>
      <c r="C7" s="74"/>
      <c r="D7" s="74"/>
      <c r="I7" s="70" t="s">
        <v>138</v>
      </c>
      <c r="J7" s="70"/>
      <c r="N7" s="71" t="s">
        <v>139</v>
      </c>
      <c r="O7" s="71"/>
    </row>
    <row r="8" spans="1:28" x14ac:dyDescent="0.25">
      <c r="A8" s="74"/>
      <c r="B8" s="74"/>
      <c r="C8" s="74"/>
      <c r="D8" s="74"/>
    </row>
    <row r="10" spans="1:28" x14ac:dyDescent="0.25">
      <c r="A10" s="62" t="s">
        <v>131</v>
      </c>
      <c r="B10" s="62"/>
      <c r="C10" s="62"/>
      <c r="D10" s="62"/>
      <c r="E10" s="15"/>
      <c r="F10" s="15">
        <f>IF(E10&lt;UnosPodataka!$M$24,E10+1,"")</f>
        <v>1</v>
      </c>
      <c r="G10" s="15">
        <f>IF(F10&lt;UnosPodataka!$M$24,F10+1,"")</f>
        <v>2</v>
      </c>
      <c r="H10" s="15">
        <f>IF(G10&lt;UnosPodataka!$M$24,G10+1,"")</f>
        <v>3</v>
      </c>
      <c r="I10" s="15">
        <f>IF(H10&lt;UnosPodataka!$M$24,H10+1,"")</f>
        <v>4</v>
      </c>
      <c r="J10" s="15">
        <f>IF(I10&lt;UnosPodataka!$M$24,I10+1,"")</f>
        <v>5</v>
      </c>
      <c r="K10" s="15">
        <f>IF(J10&lt;UnosPodataka!$M$24,J10+1,"")</f>
        <v>6</v>
      </c>
      <c r="L10" s="15">
        <f>IF(K10&lt;UnosPodataka!$M$24,K10+1,"")</f>
        <v>7</v>
      </c>
      <c r="M10" s="15">
        <f>IF(L10&lt;UnosPodataka!$M$24,L10+1,"")</f>
        <v>8</v>
      </c>
      <c r="N10" s="15">
        <f>IF(M10&lt;UnosPodataka!$M$24,M10+1,"")</f>
        <v>9</v>
      </c>
      <c r="O10" s="15">
        <f>IF(N10&lt;UnosPodataka!$M$24,N10+1,"")</f>
        <v>10</v>
      </c>
      <c r="P10" s="15">
        <f>IF(O10&lt;UnosPodataka!$M$24,O10+1,"")</f>
        <v>11</v>
      </c>
      <c r="Q10" s="15">
        <f>IF(P10&lt;UnosPodataka!$M$24,P10+1,"")</f>
        <v>12</v>
      </c>
      <c r="R10" s="15">
        <f>IF(Q10&lt;UnosPodataka!$M$24,Q10+1,"")</f>
        <v>13</v>
      </c>
      <c r="S10" s="15">
        <f>IF(R10&lt;UnosPodataka!$M$24,R10+1,"")</f>
        <v>14</v>
      </c>
      <c r="T10" s="15">
        <f>IF(S10&lt;UnosPodataka!$M$24,S10+1,"")</f>
        <v>15</v>
      </c>
      <c r="U10" s="15">
        <f>IF(T10&lt;UnosPodataka!$M$24,T10+1,"")</f>
        <v>16</v>
      </c>
      <c r="V10" s="15">
        <f>IF(U10&lt;UnosPodataka!$M$24,U10+1,"")</f>
        <v>17</v>
      </c>
      <c r="W10" s="15">
        <f>IF(V10&lt;UnosPodataka!$M$24,V10+1,"")</f>
        <v>18</v>
      </c>
      <c r="X10" s="15">
        <f>IF(W10&lt;UnosPodataka!$M$24,W10+1,"")</f>
        <v>19</v>
      </c>
      <c r="Y10" s="15">
        <f>IF(X10&lt;UnosPodataka!$M$24,X10+1,"")</f>
        <v>20</v>
      </c>
      <c r="Z10" s="16"/>
      <c r="AA10" s="16"/>
      <c r="AB10" s="16"/>
    </row>
    <row r="12" spans="1:28" x14ac:dyDescent="0.25">
      <c r="A12" s="63" t="s">
        <v>132</v>
      </c>
      <c r="B12" s="63"/>
      <c r="C12" s="63"/>
      <c r="D12" s="63"/>
      <c r="E12" s="3"/>
      <c r="F12" s="3">
        <f>Investment</f>
        <v>144000</v>
      </c>
    </row>
    <row r="13" spans="1:28" x14ac:dyDescent="0.25">
      <c r="A13" s="63" t="s">
        <v>133</v>
      </c>
      <c r="B13" s="63"/>
      <c r="C13" s="63"/>
      <c r="D13" s="63"/>
      <c r="F13" s="3">
        <f>IF(F10&lt;&gt;"",-(FinaIndicators!F28+FinaIndicators!F33),"")</f>
        <v>25309.465639599362</v>
      </c>
      <c r="G13" s="3">
        <f>IF(G10&lt;&gt;"",-(FinaIndicators!G28+FinaIndicators!G33),"")</f>
        <v>25179.21848771405</v>
      </c>
      <c r="H13" s="3">
        <f>IF(H10&lt;&gt;"",-(FinaIndicators!H28+FinaIndicators!H33),"")</f>
        <v>25033.341677602501</v>
      </c>
      <c r="I13" s="3">
        <f>IF(I10&lt;&gt;"",-(FinaIndicators!I28+FinaIndicators!I33),"")</f>
        <v>24869.95965027756</v>
      </c>
      <c r="J13" s="3">
        <f>IF(J10&lt;&gt;"",-(FinaIndicators!J28+FinaIndicators!J33),"")</f>
        <v>24686.971779673633</v>
      </c>
      <c r="K13" s="3">
        <f>IF(K10&lt;&gt;"",-(FinaIndicators!K28+FinaIndicators!K33),"")</f>
        <v>24482.02536459723</v>
      </c>
      <c r="L13" s="3">
        <f>IF(L10&lt;&gt;"",-(FinaIndicators!L28+FinaIndicators!L33),"")</f>
        <v>24252.485379711659</v>
      </c>
      <c r="M13" s="3">
        <f>IF(M10&lt;&gt;"",-(FinaIndicators!M28+FinaIndicators!M33),"")</f>
        <v>23995.400596639822</v>
      </c>
      <c r="N13" s="3">
        <f>IF(N10&lt;&gt;"",-(FinaIndicators!N28+FinaIndicators!N33),"")</f>
        <v>5791.5127570819404</v>
      </c>
      <c r="O13" s="3">
        <f>IF(O10&lt;&gt;"",-(FinaIndicators!O28+FinaIndicators!O33),"")</f>
        <v>5791.5127570819404</v>
      </c>
      <c r="P13" s="3">
        <f>IF(P10&lt;&gt;"",-(FinaIndicators!P28+FinaIndicators!P33),"")</f>
        <v>5791.5127570819404</v>
      </c>
      <c r="Q13" s="3">
        <f>IF(Q10&lt;&gt;"",-(FinaIndicators!Q28+FinaIndicators!Q33),"")</f>
        <v>5791.5127570819404</v>
      </c>
      <c r="R13" s="3">
        <f>IF(R10&lt;&gt;"",-(FinaIndicators!R28+FinaIndicators!R33),"")</f>
        <v>5791.5127570819404</v>
      </c>
      <c r="S13" s="3">
        <f>IF(S10&lt;&gt;"",-(FinaIndicators!S28+FinaIndicators!S33),"")</f>
        <v>5791.5127570819404</v>
      </c>
      <c r="T13" s="3">
        <f>IF(T10&lt;&gt;"",-(FinaIndicators!T28+FinaIndicators!T33),"")</f>
        <v>5791.5127570819404</v>
      </c>
      <c r="U13" s="3">
        <f>IF(U10&lt;&gt;"",-(FinaIndicators!U28+FinaIndicators!U33),"")</f>
        <v>5791.5127570819404</v>
      </c>
      <c r="V13" s="3">
        <f>IF(V10&lt;&gt;"",-(FinaIndicators!V28+FinaIndicators!V33),"")</f>
        <v>5791.5127570819404</v>
      </c>
      <c r="W13" s="3">
        <f>IF(W10&lt;&gt;"",-(FinaIndicators!W28+FinaIndicators!W33),"")</f>
        <v>5791.5127570819404</v>
      </c>
      <c r="X13" s="3">
        <f>IF(X10&lt;&gt;"",-(FinaIndicators!X28+FinaIndicators!X33),"")</f>
        <v>5791.5127570819404</v>
      </c>
      <c r="Y13" s="3">
        <f>IF(Y10&lt;&gt;"",-(FinaIndicators!Y28+FinaIndicators!Y33),"")</f>
        <v>5791.5127570819404</v>
      </c>
    </row>
    <row r="14" spans="1:28" x14ac:dyDescent="0.25">
      <c r="A14" s="63" t="s">
        <v>134</v>
      </c>
      <c r="B14" s="63"/>
      <c r="C14" s="63"/>
      <c r="D14" s="63"/>
      <c r="E14" s="3"/>
      <c r="F14" s="3">
        <f t="shared" ref="F14:X14" si="0">IF(F10&lt;&gt;"",F12+F13,"")</f>
        <v>169309.46563959937</v>
      </c>
      <c r="G14" s="3">
        <f t="shared" si="0"/>
        <v>25179.21848771405</v>
      </c>
      <c r="H14" s="3">
        <f t="shared" si="0"/>
        <v>25033.341677602501</v>
      </c>
      <c r="I14" s="3">
        <f t="shared" si="0"/>
        <v>24869.95965027756</v>
      </c>
      <c r="J14" s="3">
        <f t="shared" si="0"/>
        <v>24686.971779673633</v>
      </c>
      <c r="K14" s="3">
        <f t="shared" si="0"/>
        <v>24482.02536459723</v>
      </c>
      <c r="L14" s="3">
        <f t="shared" si="0"/>
        <v>24252.485379711659</v>
      </c>
      <c r="M14" s="3">
        <f t="shared" si="0"/>
        <v>23995.400596639822</v>
      </c>
      <c r="N14" s="3">
        <f t="shared" si="0"/>
        <v>5791.5127570819404</v>
      </c>
      <c r="O14" s="3">
        <f t="shared" si="0"/>
        <v>5791.5127570819404</v>
      </c>
      <c r="P14" s="3">
        <f t="shared" si="0"/>
        <v>5791.5127570819404</v>
      </c>
      <c r="Q14" s="3">
        <f t="shared" si="0"/>
        <v>5791.5127570819404</v>
      </c>
      <c r="R14" s="3">
        <f t="shared" si="0"/>
        <v>5791.5127570819404</v>
      </c>
      <c r="S14" s="3">
        <f t="shared" si="0"/>
        <v>5791.5127570819404</v>
      </c>
      <c r="T14" s="3">
        <f t="shared" si="0"/>
        <v>5791.5127570819404</v>
      </c>
      <c r="U14" s="3">
        <f t="shared" si="0"/>
        <v>5791.5127570819404</v>
      </c>
      <c r="V14" s="3">
        <f t="shared" si="0"/>
        <v>5791.5127570819404</v>
      </c>
      <c r="W14" s="3">
        <f t="shared" si="0"/>
        <v>5791.5127570819404</v>
      </c>
      <c r="X14" s="3">
        <f t="shared" si="0"/>
        <v>5791.5127570819404</v>
      </c>
      <c r="Y14" s="3">
        <f t="shared" ref="Y14" si="1">IF(Y10&lt;&gt;"",Y12+Y13,"")</f>
        <v>5791.5127570819404</v>
      </c>
    </row>
    <row r="15" spans="1:28" x14ac:dyDescent="0.25">
      <c r="A15" s="67"/>
      <c r="B15" s="67"/>
      <c r="C15" s="67"/>
      <c r="D15" s="67"/>
    </row>
    <row r="16" spans="1:28" x14ac:dyDescent="0.25">
      <c r="A16" s="63" t="s">
        <v>125</v>
      </c>
      <c r="B16" s="63"/>
      <c r="C16" s="63"/>
      <c r="D16" s="63"/>
      <c r="F16" s="3">
        <f>IF(F10&lt;&gt;"",FinaIndicators!F14,"")</f>
        <v>356.08311398399997</v>
      </c>
      <c r="G16" s="3">
        <f>IF(G10&lt;&gt;"",FinaIndicators!G14,"")</f>
        <v>356.08311398399997</v>
      </c>
      <c r="H16" s="3">
        <f>IF(H10&lt;&gt;"",FinaIndicators!H14,"")</f>
        <v>356.08311398399997</v>
      </c>
      <c r="I16" s="3">
        <f>IF(I10&lt;&gt;"",FinaIndicators!I14,"")</f>
        <v>356.08311398399997</v>
      </c>
      <c r="J16" s="3">
        <f>IF(J10&lt;&gt;"",FinaIndicators!J14,"")</f>
        <v>356.08311398399997</v>
      </c>
      <c r="K16" s="3">
        <f>IF(K10&lt;&gt;"",FinaIndicators!K14,"")</f>
        <v>356.08311398399997</v>
      </c>
      <c r="L16" s="3">
        <f>IF(L10&lt;&gt;"",FinaIndicators!L14,"")</f>
        <v>356.08311398399997</v>
      </c>
      <c r="M16" s="3">
        <f>IF(M10&lt;&gt;"",FinaIndicators!M14,"")</f>
        <v>356.08311398399997</v>
      </c>
      <c r="N16" s="3">
        <f>IF(N10&lt;&gt;"",FinaIndicators!N14,"")</f>
        <v>356.08311398399997</v>
      </c>
      <c r="O16" s="3">
        <f>IF(O10&lt;&gt;"",FinaIndicators!O14,"")</f>
        <v>356.08311398399997</v>
      </c>
      <c r="P16" s="3">
        <f>IF(P10&lt;&gt;"",FinaIndicators!P14,"")</f>
        <v>356.08311398399997</v>
      </c>
      <c r="Q16" s="3">
        <f>IF(Q10&lt;&gt;"",FinaIndicators!Q14,"")</f>
        <v>356.08311398399997</v>
      </c>
      <c r="R16" s="3">
        <f>IF(R10&lt;&gt;"",FinaIndicators!R14,"")</f>
        <v>356.08311398399997</v>
      </c>
      <c r="S16" s="3">
        <f>IF(S10&lt;&gt;"",FinaIndicators!S14,"")</f>
        <v>356.08311398399997</v>
      </c>
      <c r="T16" s="3">
        <f>IF(T10&lt;&gt;"",FinaIndicators!T14,"")</f>
        <v>356.08311398399997</v>
      </c>
      <c r="U16" s="3">
        <f>IF(U10&lt;&gt;"",FinaIndicators!U14,"")</f>
        <v>356.08311398399997</v>
      </c>
      <c r="V16" s="3">
        <f>IF(V10&lt;&gt;"",FinaIndicators!V14,"")</f>
        <v>356.08311398399997</v>
      </c>
      <c r="W16" s="3">
        <f>IF(W10&lt;&gt;"",FinaIndicators!W14,"")</f>
        <v>356.08311398399997</v>
      </c>
      <c r="X16" s="3">
        <f>IF(X10&lt;&gt;"",FinaIndicators!X14,"")</f>
        <v>356.08311398399997</v>
      </c>
      <c r="Y16" s="3">
        <f>IF(Y10&lt;&gt;"",FinaIndicators!Y14,"")</f>
        <v>356.08311398399997</v>
      </c>
    </row>
    <row r="17" spans="1:25" ht="18" x14ac:dyDescent="0.35">
      <c r="A17" s="63" t="s">
        <v>135</v>
      </c>
      <c r="B17" s="63"/>
      <c r="C17" s="63"/>
      <c r="D17" s="63"/>
      <c r="F17" s="3">
        <f>IF(F10&lt;&gt;"",F16*UnosPodataka!$M$23,"")</f>
        <v>78.338285076479991</v>
      </c>
      <c r="G17" s="3">
        <f>IF(G10&lt;&gt;"",G16*UnosPodataka!$M$23,"")</f>
        <v>78.338285076479991</v>
      </c>
      <c r="H17" s="3">
        <f>IF(H10&lt;&gt;"",H16*UnosPodataka!$M$23,"")</f>
        <v>78.338285076479991</v>
      </c>
      <c r="I17" s="3">
        <f>IF(I10&lt;&gt;"",I16*UnosPodataka!$M$23,"")</f>
        <v>78.338285076479991</v>
      </c>
      <c r="J17" s="3">
        <f>IF(J10&lt;&gt;"",J16*UnosPodataka!$M$23,"")</f>
        <v>78.338285076479991</v>
      </c>
      <c r="K17" s="3">
        <f>IF(K10&lt;&gt;"",K16*UnosPodataka!$M$23,"")</f>
        <v>78.338285076479991</v>
      </c>
      <c r="L17" s="3">
        <f>IF(L10&lt;&gt;"",L16*UnosPodataka!$M$23,"")</f>
        <v>78.338285076479991</v>
      </c>
      <c r="M17" s="3">
        <f>IF(M10&lt;&gt;"",M16*UnosPodataka!$M$23,"")</f>
        <v>78.338285076479991</v>
      </c>
      <c r="N17" s="3">
        <f>IF(N10&lt;&gt;"",N16*UnosPodataka!$M$23,"")</f>
        <v>78.338285076479991</v>
      </c>
      <c r="O17" s="3">
        <f>IF(O10&lt;&gt;"",O16*UnosPodataka!$M$23,"")</f>
        <v>78.338285076479991</v>
      </c>
      <c r="P17" s="3">
        <f>IF(P10&lt;&gt;"",P16*UnosPodataka!$M$23,"")</f>
        <v>78.338285076479991</v>
      </c>
      <c r="Q17" s="3">
        <f>IF(Q10&lt;&gt;"",Q16*UnosPodataka!$M$23,"")</f>
        <v>78.338285076479991</v>
      </c>
      <c r="R17" s="3">
        <f>IF(R10&lt;&gt;"",R16*UnosPodataka!$M$23,"")</f>
        <v>78.338285076479991</v>
      </c>
      <c r="S17" s="3">
        <f>IF(S10&lt;&gt;"",S16*UnosPodataka!$M$23,"")</f>
        <v>78.338285076479991</v>
      </c>
      <c r="T17" s="3">
        <f>IF(T10&lt;&gt;"",T16*UnosPodataka!$M$23,"")</f>
        <v>78.338285076479991</v>
      </c>
      <c r="U17" s="3">
        <f>IF(U10&lt;&gt;"",U16*UnosPodataka!$M$23,"")</f>
        <v>78.338285076479991</v>
      </c>
      <c r="V17" s="3">
        <f>IF(V10&lt;&gt;"",V16*UnosPodataka!$M$23,"")</f>
        <v>78.338285076479991</v>
      </c>
      <c r="W17" s="3">
        <f>IF(W10&lt;&gt;"",W16*UnosPodataka!$M$23,"")</f>
        <v>78.338285076479991</v>
      </c>
      <c r="X17" s="3">
        <f>IF(X10&lt;&gt;"",X16*UnosPodataka!$M$23,"")</f>
        <v>78.338285076479991</v>
      </c>
      <c r="Y17" s="3">
        <f>IF(Y10&lt;&gt;"",Y16*UnosPodataka!$M$23,"")</f>
        <v>78.338285076479991</v>
      </c>
    </row>
    <row r="19" spans="1:25" x14ac:dyDescent="0.25">
      <c r="A19" s="62" t="s">
        <v>30</v>
      </c>
      <c r="B19" s="62"/>
      <c r="C19" s="62"/>
      <c r="D19" s="62"/>
      <c r="E19" s="3">
        <f>NPV(FinaIndicators!E39,LCoEE!F14:Y14)/NPV(FinaIndicators!E39,LCoEE!F16:Y16)</f>
        <v>87.20905931944165</v>
      </c>
    </row>
    <row r="20" spans="1:25" ht="18" x14ac:dyDescent="0.35">
      <c r="A20" s="62" t="s">
        <v>31</v>
      </c>
      <c r="B20" s="62"/>
      <c r="C20" s="62"/>
      <c r="D20" s="62"/>
      <c r="E20" s="3">
        <f>NPV(UnosPodataka!M18,LCoEE!F14:Y14)/NPV(UnosPodataka!M18,LCoEE!F17:Y17)</f>
        <v>356.36709559891187</v>
      </c>
    </row>
  </sheetData>
  <sheetProtection selectLockedCells="1"/>
  <mergeCells count="13">
    <mergeCell ref="A19:D19"/>
    <mergeCell ref="A20:D20"/>
    <mergeCell ref="A7:D8"/>
    <mergeCell ref="A10:D10"/>
    <mergeCell ref="A12:D12"/>
    <mergeCell ref="A13:D13"/>
    <mergeCell ref="A14:D14"/>
    <mergeCell ref="A15:D15"/>
    <mergeCell ref="F3:I3"/>
    <mergeCell ref="I7:J7"/>
    <mergeCell ref="N7:O7"/>
    <mergeCell ref="A16:D16"/>
    <mergeCell ref="A17:D17"/>
  </mergeCells>
  <hyperlinks>
    <hyperlink ref="I7:J7" location="GraphEcon!A5" display="NAZAD" xr:uid="{00000000-0004-0000-0900-000000000000}"/>
    <hyperlink ref="N7:O7" location="SALCoEE!A1" display="DALJE" xr:uid="{00000000-0004-0000-0900-000001000000}"/>
  </hyperlink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3:I38"/>
  <sheetViews>
    <sheetView topLeftCell="A3" workbookViewId="0">
      <selection activeCell="E6" sqref="E6"/>
    </sheetView>
  </sheetViews>
  <sheetFormatPr defaultRowHeight="15" x14ac:dyDescent="0.25"/>
  <cols>
    <col min="1" max="1" width="12.42578125" customWidth="1"/>
    <col min="2" max="2" width="12.140625" customWidth="1"/>
    <col min="4" max="4" width="11.7109375" customWidth="1"/>
  </cols>
  <sheetData>
    <row r="3" spans="1:9" ht="16.5" x14ac:dyDescent="0.35">
      <c r="F3" s="56" t="s">
        <v>158</v>
      </c>
      <c r="G3" s="56"/>
      <c r="H3" s="56"/>
      <c r="I3" s="56"/>
    </row>
    <row r="6" spans="1:9" ht="21" x14ac:dyDescent="0.35">
      <c r="A6" s="68" t="s">
        <v>136</v>
      </c>
      <c r="B6" s="68"/>
      <c r="C6" s="68"/>
      <c r="D6" s="68"/>
    </row>
    <row r="8" spans="1:9" ht="15.75" thickBot="1" x14ac:dyDescent="0.3"/>
    <row r="9" spans="1:9" ht="15.75" thickBot="1" x14ac:dyDescent="0.3">
      <c r="B9" s="47" t="s">
        <v>185</v>
      </c>
      <c r="C9" s="48"/>
      <c r="D9" s="47" t="s">
        <v>186</v>
      </c>
      <c r="E9" s="48"/>
    </row>
    <row r="10" spans="1:9" ht="15.75" thickBot="1" x14ac:dyDescent="0.3">
      <c r="B10" s="49" t="s">
        <v>187</v>
      </c>
      <c r="C10" s="49" t="s">
        <v>188</v>
      </c>
      <c r="D10" s="49" t="s">
        <v>187</v>
      </c>
      <c r="E10" s="49" t="s">
        <v>188</v>
      </c>
    </row>
    <row r="12" spans="1:9" x14ac:dyDescent="0.25">
      <c r="A12" s="50" t="s">
        <v>189</v>
      </c>
      <c r="B12" s="51">
        <v>-83114.969172431811</v>
      </c>
      <c r="C12" s="52">
        <v>1.4288484963508541E-2</v>
      </c>
      <c r="D12" s="51">
        <v>-26192.412686633728</v>
      </c>
      <c r="E12" s="7">
        <v>6.3414607587773286E-2</v>
      </c>
    </row>
    <row r="13" spans="1:9" x14ac:dyDescent="0.25">
      <c r="B13" s="51"/>
      <c r="C13" s="52"/>
      <c r="D13" s="51"/>
    </row>
    <row r="14" spans="1:9" x14ac:dyDescent="0.25">
      <c r="A14" s="50" t="s">
        <v>191</v>
      </c>
      <c r="B14" s="51"/>
      <c r="C14" s="52"/>
      <c r="D14" s="51"/>
    </row>
    <row r="15" spans="1:9" x14ac:dyDescent="0.25">
      <c r="A15" s="18">
        <v>0.1</v>
      </c>
      <c r="B15" s="51">
        <v>-67294.284546021707</v>
      </c>
      <c r="C15" s="52">
        <v>2.8653292593661561E-2</v>
      </c>
      <c r="D15" s="51">
        <v>-10371.728060223584</v>
      </c>
      <c r="E15" s="7">
        <v>7.6111097356087898E-2</v>
      </c>
    </row>
    <row r="16" spans="1:9" x14ac:dyDescent="0.25">
      <c r="A16" s="18">
        <v>-0.1</v>
      </c>
      <c r="B16" s="51">
        <v>-98935.653798841944</v>
      </c>
      <c r="C16" s="52">
        <v>-8.724416519103606E-4</v>
      </c>
      <c r="D16" s="51">
        <v>-42013.09731304388</v>
      </c>
      <c r="E16" s="7">
        <v>5.0386461562075047E-2</v>
      </c>
    </row>
    <row r="17" spans="1:5" x14ac:dyDescent="0.25">
      <c r="A17" t="s">
        <v>190</v>
      </c>
      <c r="B17" s="52">
        <v>0.52529999999999999</v>
      </c>
      <c r="C17" s="52"/>
      <c r="D17" s="52">
        <v>0.16550000000000001</v>
      </c>
      <c r="E17" s="7"/>
    </row>
    <row r="18" spans="1:5" x14ac:dyDescent="0.25">
      <c r="B18" s="51"/>
      <c r="C18" s="52"/>
      <c r="D18" s="51"/>
    </row>
    <row r="19" spans="1:5" x14ac:dyDescent="0.25">
      <c r="A19" s="50" t="s">
        <v>101</v>
      </c>
      <c r="B19" s="51"/>
      <c r="C19" s="52"/>
      <c r="D19" s="51"/>
    </row>
    <row r="20" spans="1:5" x14ac:dyDescent="0.25">
      <c r="A20" s="18">
        <v>0.1</v>
      </c>
      <c r="B20" s="51">
        <v>-82447.951645144174</v>
      </c>
      <c r="C20" s="52">
        <v>1.4908727550491552E-2</v>
      </c>
      <c r="D20" s="51">
        <v>-25525.395159346081</v>
      </c>
      <c r="E20" s="7">
        <v>6.3956066335129069E-2</v>
      </c>
    </row>
    <row r="21" spans="1:5" x14ac:dyDescent="0.25">
      <c r="A21" s="18">
        <v>-0.1</v>
      </c>
      <c r="B21" s="51">
        <v>-83781.986699719506</v>
      </c>
      <c r="C21" s="52">
        <v>1.3666837594206172E-2</v>
      </c>
      <c r="D21" s="51">
        <v>-26859.430213921394</v>
      </c>
      <c r="E21" s="7">
        <v>6.2872561996877963E-2</v>
      </c>
    </row>
    <row r="22" spans="1:5" x14ac:dyDescent="0.25">
      <c r="A22" t="s">
        <v>190</v>
      </c>
      <c r="B22" s="54" t="s">
        <v>193</v>
      </c>
      <c r="C22" s="52"/>
      <c r="D22" s="54" t="s">
        <v>193</v>
      </c>
      <c r="E22" s="7"/>
    </row>
    <row r="23" spans="1:5" x14ac:dyDescent="0.25">
      <c r="B23" s="51"/>
      <c r="C23" s="52"/>
      <c r="D23" s="51"/>
    </row>
    <row r="24" spans="1:5" x14ac:dyDescent="0.25">
      <c r="A24" s="50" t="s">
        <v>106</v>
      </c>
      <c r="B24" s="50"/>
      <c r="C24" s="50"/>
      <c r="D24" s="50"/>
    </row>
    <row r="25" spans="1:5" x14ac:dyDescent="0.25">
      <c r="A25" s="18">
        <v>0.1</v>
      </c>
      <c r="B25" s="51"/>
      <c r="C25" s="52"/>
      <c r="D25" s="51">
        <v>-20500.157038053945</v>
      </c>
      <c r="E25" s="7">
        <v>6.8017065189433623E-2</v>
      </c>
    </row>
    <row r="26" spans="1:5" x14ac:dyDescent="0.25">
      <c r="A26" s="18">
        <v>-0.1</v>
      </c>
      <c r="B26" s="51"/>
      <c r="C26" s="52"/>
      <c r="D26" s="51">
        <v>-31884.668335213581</v>
      </c>
      <c r="E26" s="7">
        <v>5.8769386734691453E-2</v>
      </c>
    </row>
    <row r="27" spans="1:5" x14ac:dyDescent="0.25">
      <c r="A27" t="s">
        <v>190</v>
      </c>
      <c r="B27" s="52"/>
      <c r="C27" s="52"/>
      <c r="D27" s="52">
        <v>0.46</v>
      </c>
      <c r="E27" s="7"/>
    </row>
    <row r="28" spans="1:5" x14ac:dyDescent="0.25">
      <c r="B28" s="53"/>
      <c r="C28" s="52"/>
      <c r="D28" s="53"/>
      <c r="E28" s="7"/>
    </row>
    <row r="29" spans="1:5" x14ac:dyDescent="0.25">
      <c r="A29" s="50" t="s">
        <v>192</v>
      </c>
      <c r="B29" s="53"/>
      <c r="C29" s="52"/>
      <c r="D29" s="53"/>
      <c r="E29" s="7"/>
    </row>
    <row r="30" spans="1:5" x14ac:dyDescent="0.25">
      <c r="A30" s="18">
        <v>0.1</v>
      </c>
      <c r="B30" s="51">
        <v>-114874.80856788777</v>
      </c>
      <c r="C30" s="52">
        <v>-3.2907404547782848E-3</v>
      </c>
      <c r="D30" s="51">
        <v>-59442.988339962481</v>
      </c>
      <c r="E30" s="7">
        <v>4.3202640373432022E-2</v>
      </c>
    </row>
    <row r="31" spans="1:5" x14ac:dyDescent="0.25">
      <c r="A31" s="18">
        <v>-0.1</v>
      </c>
      <c r="B31" s="51">
        <v>-50046.430258461936</v>
      </c>
      <c r="C31" s="52">
        <v>3.5166105294778927E-2</v>
      </c>
      <c r="D31" s="51">
        <v>8780.0864989255188</v>
      </c>
      <c r="E31" s="7">
        <v>8.7843004528714408E-2</v>
      </c>
    </row>
    <row r="32" spans="1:5" x14ac:dyDescent="0.25">
      <c r="A32" t="s">
        <v>190</v>
      </c>
      <c r="B32" s="52">
        <v>0.24060000000000001</v>
      </c>
      <c r="C32" s="53"/>
      <c r="D32" s="52">
        <v>-7.5999999999999998E-2</v>
      </c>
      <c r="E32" s="7"/>
    </row>
    <row r="34" spans="1:5" x14ac:dyDescent="0.25">
      <c r="A34" s="60" t="s">
        <v>138</v>
      </c>
      <c r="B34" s="60"/>
      <c r="D34" s="61" t="s">
        <v>139</v>
      </c>
      <c r="E34" s="61"/>
    </row>
    <row r="35" spans="1:5" x14ac:dyDescent="0.25">
      <c r="A35" s="60"/>
      <c r="B35" s="60"/>
      <c r="D35" s="61"/>
      <c r="E35" s="61"/>
    </row>
    <row r="38" spans="1:5" x14ac:dyDescent="0.25">
      <c r="B38" s="51">
        <f>+FinaIndicators!$E$43</f>
        <v>-83114.969172431811</v>
      </c>
      <c r="C38" s="52">
        <f>+FinaIndicators!$E$44</f>
        <v>1.4288484963508541E-2</v>
      </c>
      <c r="D38" s="51">
        <f>+'FinInd+CO2'!$E$44</f>
        <v>-26192.412686633728</v>
      </c>
      <c r="E38" s="7">
        <f>+'FinInd+CO2'!$E$45</f>
        <v>6.3414607587773286E-2</v>
      </c>
    </row>
  </sheetData>
  <sheetProtection selectLockedCells="1" selectUnlockedCells="1"/>
  <mergeCells count="4">
    <mergeCell ref="F3:I3"/>
    <mergeCell ref="A34:B35"/>
    <mergeCell ref="D34:E35"/>
    <mergeCell ref="A6:D6"/>
  </mergeCells>
  <hyperlinks>
    <hyperlink ref="A34:B35" location="LCoEE!I1" display="NAZAD" xr:uid="{00000000-0004-0000-0A00-000000000000}"/>
    <hyperlink ref="D34:E35" location="AkoESCO!A1" display="DALJE" xr:uid="{00000000-0004-0000-0A00-000001000000}"/>
  </hyperlink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Restriction" error="Samo stavke ponuđene u listi" promptTitle="CO2 Tax" prompt="Iznos karbon takse" xr:uid="{6BFFDFDC-746B-4A9D-842C-7741A078137C}">
          <x14:formula1>
            <xm:f>PomTab1!$N$15:$N$20</xm:f>
          </x14:formula1>
          <xm:sqref>A24:D24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3:Y16"/>
  <sheetViews>
    <sheetView workbookViewId="0">
      <selection activeCell="J19" sqref="J19"/>
    </sheetView>
  </sheetViews>
  <sheetFormatPr defaultRowHeight="15" x14ac:dyDescent="0.25"/>
  <cols>
    <col min="5" max="5" width="11.5703125" bestFit="1" customWidth="1"/>
  </cols>
  <sheetData>
    <row r="3" spans="1:25" ht="16.5" x14ac:dyDescent="0.35">
      <c r="F3" s="56" t="s">
        <v>158</v>
      </c>
      <c r="G3" s="56"/>
      <c r="H3" s="56"/>
      <c r="I3" s="56"/>
    </row>
    <row r="7" spans="1:25" ht="18.75" x14ac:dyDescent="0.3">
      <c r="A7" s="58" t="s">
        <v>141</v>
      </c>
      <c r="B7" s="58"/>
      <c r="C7" s="58"/>
      <c r="D7" s="58"/>
      <c r="I7" s="70" t="s">
        <v>138</v>
      </c>
      <c r="J7" s="70"/>
      <c r="N7" s="61" t="s">
        <v>139</v>
      </c>
      <c r="O7" s="61"/>
    </row>
    <row r="8" spans="1:25" x14ac:dyDescent="0.25">
      <c r="A8" s="58"/>
      <c r="B8" s="58"/>
      <c r="C8" s="58"/>
      <c r="D8" s="58"/>
    </row>
    <row r="10" spans="1:25" x14ac:dyDescent="0.25">
      <c r="A10" s="62" t="s">
        <v>131</v>
      </c>
      <c r="B10" s="62"/>
      <c r="C10" s="62"/>
      <c r="D10" s="62"/>
      <c r="E10" s="19"/>
      <c r="F10" s="15">
        <f>IF(E10&lt;UnosPodataka!$M$24,E10+1,"")</f>
        <v>1</v>
      </c>
      <c r="G10" s="15">
        <f>IF(F10&lt;UnosPodataka!$M$24,F10+1,"")</f>
        <v>2</v>
      </c>
      <c r="H10" s="15">
        <f>IF(G10&lt;UnosPodataka!$M$24,G10+1,"")</f>
        <v>3</v>
      </c>
      <c r="I10" s="15">
        <f>IF(H10&lt;UnosPodataka!$M$24,H10+1,"")</f>
        <v>4</v>
      </c>
      <c r="J10" s="15">
        <f>IF(I10&lt;UnosPodataka!$M$24,I10+1,"")</f>
        <v>5</v>
      </c>
      <c r="K10" s="15">
        <f>IF(J10&lt;UnosPodataka!$M$24,J10+1,"")</f>
        <v>6</v>
      </c>
      <c r="L10" s="15">
        <f>IF(K10&lt;UnosPodataka!$M$24,K10+1,"")</f>
        <v>7</v>
      </c>
      <c r="M10" s="15">
        <f>IF(L10&lt;UnosPodataka!$M$24,L10+1,"")</f>
        <v>8</v>
      </c>
      <c r="N10" s="15">
        <f>IF(M10&lt;UnosPodataka!$M$24,M10+1,"")</f>
        <v>9</v>
      </c>
      <c r="O10" s="15">
        <f>IF(N10&lt;UnosPodataka!$M$24,N10+1,"")</f>
        <v>10</v>
      </c>
      <c r="P10" s="15">
        <f>IF(O10&lt;UnosPodataka!$M$24,O10+1,"")</f>
        <v>11</v>
      </c>
      <c r="Q10" s="15">
        <f>IF(P10&lt;UnosPodataka!$M$24,P10+1,"")</f>
        <v>12</v>
      </c>
      <c r="R10" s="15">
        <f>IF(Q10&lt;UnosPodataka!$M$24,Q10+1,"")</f>
        <v>13</v>
      </c>
      <c r="S10" s="15">
        <f>IF(R10&lt;UnosPodataka!$M$24,R10+1,"")</f>
        <v>14</v>
      </c>
      <c r="T10" s="15">
        <f>IF(S10&lt;UnosPodataka!$M$24,S10+1,"")</f>
        <v>15</v>
      </c>
      <c r="U10" s="15">
        <f>IF(T10&lt;UnosPodataka!$M$24,T10+1,"")</f>
        <v>16</v>
      </c>
      <c r="V10" s="15">
        <f>IF(U10&lt;UnosPodataka!$M$24,U10+1,"")</f>
        <v>17</v>
      </c>
      <c r="W10" s="15">
        <f>IF(V10&lt;UnosPodataka!$M$24,V10+1,"")</f>
        <v>18</v>
      </c>
      <c r="X10" s="15">
        <f>IF(W10&lt;UnosPodataka!$M$24,W10+1,"")</f>
        <v>19</v>
      </c>
      <c r="Y10" s="15">
        <f>IF(X10&lt;UnosPodataka!$M$24,X10+1,"")</f>
        <v>20</v>
      </c>
    </row>
    <row r="12" spans="1:25" x14ac:dyDescent="0.25">
      <c r="A12" s="63" t="s">
        <v>144</v>
      </c>
      <c r="B12" s="63"/>
      <c r="C12" s="63"/>
      <c r="D12" s="63"/>
      <c r="E12" s="3">
        <v>0</v>
      </c>
      <c r="F12" s="3">
        <f>IF(F10&lt;&gt;"",-FinaIndicators!F27,"")</f>
        <v>0</v>
      </c>
      <c r="G12" s="3">
        <f>IF(G10&lt;&gt;"",-FinaIndicators!G27,"")</f>
        <v>0</v>
      </c>
      <c r="H12" s="3">
        <f>IF(H10&lt;&gt;"",-FinaIndicators!H27,"")</f>
        <v>0</v>
      </c>
      <c r="I12" s="3">
        <f>IF(I10&lt;&gt;"",-FinaIndicators!I27,"")</f>
        <v>0</v>
      </c>
      <c r="J12" s="3">
        <f>IF(J10&lt;&gt;"",-FinaIndicators!J27,"")</f>
        <v>0</v>
      </c>
      <c r="K12" s="3">
        <f>IF(K10&lt;&gt;"",-FinaIndicators!K27,"")</f>
        <v>0</v>
      </c>
      <c r="L12" s="3">
        <f>IF(L10&lt;&gt;"",-FinaIndicators!L27,"")</f>
        <v>0</v>
      </c>
      <c r="M12" s="3">
        <f>IF(M10&lt;&gt;"",-FinaIndicators!M27,"")</f>
        <v>0</v>
      </c>
      <c r="N12" s="3">
        <f>IF(N10&lt;&gt;"",-FinaIndicators!N27,"")</f>
        <v>0</v>
      </c>
      <c r="O12" s="3">
        <f>IF(O10&lt;&gt;"",-FinaIndicators!O27,"")</f>
        <v>0</v>
      </c>
      <c r="P12" s="3">
        <f>IF(P10&lt;&gt;"",-FinaIndicators!P27,"")</f>
        <v>0</v>
      </c>
      <c r="Q12" s="3">
        <f>IF(Q10&lt;&gt;"",-FinaIndicators!Q27,"")</f>
        <v>0</v>
      </c>
      <c r="R12" s="3">
        <f>IF(R10&lt;&gt;"",-FinaIndicators!R27,"")</f>
        <v>0</v>
      </c>
      <c r="S12" s="3">
        <f>IF(S10&lt;&gt;"",-FinaIndicators!S27,"")</f>
        <v>0</v>
      </c>
      <c r="T12" s="3">
        <f>IF(T10&lt;&gt;"",-FinaIndicators!T27,"")</f>
        <v>0</v>
      </c>
      <c r="U12" s="3">
        <f>IF(U10&lt;&gt;"",-FinaIndicators!U27,"")</f>
        <v>0</v>
      </c>
      <c r="V12" s="3">
        <f>IF(V10&lt;&gt;"",-FinaIndicators!V27,"")</f>
        <v>0</v>
      </c>
      <c r="W12" s="3">
        <f>IF(W10&lt;&gt;"",-FinaIndicators!W27,"")</f>
        <v>0</v>
      </c>
      <c r="X12" s="3">
        <f>IF(X10&lt;&gt;"",-FinaIndicators!X27,"")</f>
        <v>0</v>
      </c>
      <c r="Y12" s="3">
        <f>IF(Y10&lt;&gt;"",-FinaIndicators!Y27,"")</f>
        <v>0</v>
      </c>
    </row>
    <row r="13" spans="1:25" x14ac:dyDescent="0.25">
      <c r="A13" s="63" t="s">
        <v>145</v>
      </c>
      <c r="B13" s="63"/>
      <c r="C13" s="63"/>
      <c r="D13" s="63"/>
      <c r="E13" s="3">
        <v>0</v>
      </c>
      <c r="F13" s="3">
        <f>IF(F10&lt;&gt;"",F12*(1+UnosPodataka!$M$18)^(-F10),"")</f>
        <v>0</v>
      </c>
      <c r="G13" s="3">
        <f>IF(G10&lt;&gt;"",G12*(1+UnosPodataka!$M$18)^(-G10),"")</f>
        <v>0</v>
      </c>
      <c r="H13" s="3">
        <f>IF(H10&lt;&gt;"",H12*(1+UnosPodataka!$M$18)^(-H10),"")</f>
        <v>0</v>
      </c>
      <c r="I13" s="3">
        <f>IF(I10&lt;&gt;"",I12*(1+UnosPodataka!$M$18)^(-I10),"")</f>
        <v>0</v>
      </c>
      <c r="J13" s="3">
        <f>IF(J10&lt;&gt;"",J12*(1+UnosPodataka!$M$18)^(-J10),"")</f>
        <v>0</v>
      </c>
      <c r="K13" s="3">
        <f>IF(K10&lt;&gt;"",K12*(1+UnosPodataka!$M$18)^(-K10),"")</f>
        <v>0</v>
      </c>
      <c r="L13" s="3">
        <f>IF(L10&lt;&gt;"",L12*(1+UnosPodataka!$M$18)^(-L10),"")</f>
        <v>0</v>
      </c>
      <c r="M13" s="3">
        <f>IF(M10&lt;&gt;"",M12*(1+UnosPodataka!$M$18)^(-M10),"")</f>
        <v>0</v>
      </c>
      <c r="N13" s="3">
        <f>IF(N10&lt;&gt;"",N12*(1+UnosPodataka!$M$18)^(-N10),"")</f>
        <v>0</v>
      </c>
      <c r="O13" s="3">
        <f>IF(O10&lt;&gt;"",O12*(1+UnosPodataka!$M$18)^(-O10),"")</f>
        <v>0</v>
      </c>
      <c r="P13" s="3">
        <f>IF(P10&lt;&gt;"",P12*(1+UnosPodataka!$M$18)^(-P10),"")</f>
        <v>0</v>
      </c>
      <c r="Q13" s="3">
        <f>IF(Q10&lt;&gt;"",Q12*(1+UnosPodataka!$M$18)^(-Q10),"")</f>
        <v>0</v>
      </c>
      <c r="R13" s="3">
        <f>IF(R10&lt;&gt;"",R12*(1+UnosPodataka!$M$18)^(-R10),"")</f>
        <v>0</v>
      </c>
      <c r="S13" s="3">
        <f>IF(S10&lt;&gt;"",S12*(1+UnosPodataka!$M$18)^(-S10),"")</f>
        <v>0</v>
      </c>
      <c r="T13" s="3">
        <f>IF(T10&lt;&gt;"",T12*(1+UnosPodataka!$M$18)^(-T10),"")</f>
        <v>0</v>
      </c>
      <c r="U13" s="3">
        <f>IF(U10&lt;&gt;"",U12*(1+UnosPodataka!$M$18)^(-U10),"")</f>
        <v>0</v>
      </c>
      <c r="V13" s="3">
        <f>IF(V10&lt;&gt;"",V12*(1+UnosPodataka!$M$18)^(-V10),"")</f>
        <v>0</v>
      </c>
      <c r="W13" s="3">
        <f>IF(W10&lt;&gt;"",W12*(1+UnosPodataka!$M$18)^(-W10),"")</f>
        <v>0</v>
      </c>
      <c r="X13" s="3">
        <f>IF(X10&lt;&gt;"",X12*(1+UnosPodataka!$M$18)^(-X10),"")</f>
        <v>0</v>
      </c>
      <c r="Y13" s="3">
        <f>IF(Y10&lt;&gt;"",Y12*(1+UnosPodataka!$M$18)^(-Y10),"")</f>
        <v>0</v>
      </c>
    </row>
    <row r="15" spans="1:25" x14ac:dyDescent="0.25">
      <c r="A15" s="62" t="s">
        <v>28</v>
      </c>
      <c r="B15" s="62"/>
      <c r="C15" s="62"/>
      <c r="D15" s="62"/>
      <c r="E15" s="17">
        <f>NPV(UnosPodataka!M18,AkoESCO!E12:X12)</f>
        <v>0</v>
      </c>
    </row>
    <row r="16" spans="1:25" x14ac:dyDescent="0.25">
      <c r="A16" s="62" t="s">
        <v>29</v>
      </c>
      <c r="B16" s="62"/>
      <c r="C16" s="62"/>
      <c r="D16" s="62"/>
      <c r="E16" s="6" t="s">
        <v>142</v>
      </c>
    </row>
  </sheetData>
  <mergeCells count="9">
    <mergeCell ref="F3:I3"/>
    <mergeCell ref="A16:D16"/>
    <mergeCell ref="I7:J7"/>
    <mergeCell ref="N7:O7"/>
    <mergeCell ref="A7:D8"/>
    <mergeCell ref="A10:D10"/>
    <mergeCell ref="A12:D12"/>
    <mergeCell ref="A13:D13"/>
    <mergeCell ref="A15:D15"/>
  </mergeCells>
  <hyperlinks>
    <hyperlink ref="I7:J7" location="SALCoEE!A10" display="NAZAD" xr:uid="{00000000-0004-0000-0B00-000000000000}"/>
    <hyperlink ref="N7:O7" location="ESCOGrafFina!A1" display="DALJE" xr:uid="{00000000-0004-0000-0B00-000001000000}"/>
  </hyperlink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3:I12"/>
  <sheetViews>
    <sheetView workbookViewId="0">
      <selection activeCell="E25" sqref="E25"/>
    </sheetView>
  </sheetViews>
  <sheetFormatPr defaultRowHeight="15" x14ac:dyDescent="0.25"/>
  <sheetData>
    <row r="3" spans="1:9" ht="16.5" x14ac:dyDescent="0.35">
      <c r="F3" s="56" t="s">
        <v>158</v>
      </c>
      <c r="G3" s="56"/>
      <c r="H3" s="56"/>
      <c r="I3" s="56"/>
    </row>
    <row r="7" spans="1:9" x14ac:dyDescent="0.25">
      <c r="A7" s="58" t="s">
        <v>143</v>
      </c>
      <c r="B7" s="58"/>
      <c r="C7" s="58"/>
      <c r="D7" s="58"/>
    </row>
    <row r="8" spans="1:9" x14ac:dyDescent="0.25">
      <c r="A8" s="58"/>
      <c r="B8" s="58"/>
      <c r="C8" s="58"/>
      <c r="D8" s="58"/>
    </row>
    <row r="9" spans="1:9" x14ac:dyDescent="0.25">
      <c r="A9" s="58"/>
      <c r="B9" s="58"/>
      <c r="C9" s="58"/>
      <c r="D9" s="58"/>
    </row>
    <row r="11" spans="1:9" x14ac:dyDescent="0.25">
      <c r="A11" s="60" t="s">
        <v>138</v>
      </c>
      <c r="B11" s="60"/>
      <c r="D11" s="61" t="s">
        <v>139</v>
      </c>
      <c r="E11" s="61"/>
    </row>
    <row r="12" spans="1:9" x14ac:dyDescent="0.25">
      <c r="A12" s="60"/>
      <c r="B12" s="60"/>
      <c r="D12" s="61"/>
      <c r="E12" s="61"/>
    </row>
  </sheetData>
  <mergeCells count="4">
    <mergeCell ref="A7:D9"/>
    <mergeCell ref="A11:B12"/>
    <mergeCell ref="D11:E12"/>
    <mergeCell ref="F3:I3"/>
  </mergeCells>
  <hyperlinks>
    <hyperlink ref="A11:B12" location="AkoESCO!I1" display="NAZAD" xr:uid="{00000000-0004-0000-0C00-000000000000}"/>
    <hyperlink ref="D11:E12" location="REZIME!A1" display="DALJE" xr:uid="{00000000-0004-0000-0C00-000001000000}"/>
  </hyperlink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3:I21"/>
  <sheetViews>
    <sheetView workbookViewId="0">
      <selection activeCell="F27" sqref="F27"/>
    </sheetView>
  </sheetViews>
  <sheetFormatPr defaultRowHeight="15" x14ac:dyDescent="0.25"/>
  <sheetData>
    <row r="3" spans="1:9" ht="16.5" x14ac:dyDescent="0.35">
      <c r="F3" s="56" t="s">
        <v>158</v>
      </c>
      <c r="G3" s="56"/>
      <c r="H3" s="56"/>
      <c r="I3" s="56"/>
    </row>
    <row r="7" spans="1:9" x14ac:dyDescent="0.25">
      <c r="A7" s="58" t="s">
        <v>146</v>
      </c>
      <c r="B7" s="58"/>
      <c r="C7" s="58"/>
      <c r="D7" s="58"/>
    </row>
    <row r="8" spans="1:9" x14ac:dyDescent="0.25">
      <c r="A8" s="58"/>
      <c r="B8" s="58"/>
      <c r="C8" s="58"/>
      <c r="D8" s="58"/>
    </row>
    <row r="9" spans="1:9" x14ac:dyDescent="0.25">
      <c r="B9" s="62" t="s">
        <v>147</v>
      </c>
      <c r="C9" s="62"/>
      <c r="D9" s="62"/>
      <c r="E9" s="67" t="str">
        <f>PROJEKAT</f>
        <v>Rekonstrukcija distributivne mreže</v>
      </c>
      <c r="F9" s="67"/>
      <c r="G9" s="67"/>
      <c r="H9" s="67"/>
      <c r="I9" s="67"/>
    </row>
    <row r="10" spans="1:9" x14ac:dyDescent="0.25">
      <c r="B10" s="62" t="s">
        <v>148</v>
      </c>
      <c r="C10" s="62"/>
      <c r="D10" s="62"/>
      <c r="E10" s="75">
        <f>Investment</f>
        <v>144000</v>
      </c>
      <c r="F10" s="75"/>
      <c r="G10" s="75"/>
      <c r="H10" s="75"/>
      <c r="I10" s="75"/>
    </row>
    <row r="11" spans="1:9" x14ac:dyDescent="0.25">
      <c r="B11" s="62" t="s">
        <v>149</v>
      </c>
      <c r="C11" s="62"/>
      <c r="D11" s="62"/>
      <c r="E11" s="75">
        <f>SUM(UnosPodataka!F20:F26)-Equity</f>
        <v>30000</v>
      </c>
      <c r="F11" s="75"/>
      <c r="G11" s="75"/>
      <c r="H11" s="75"/>
      <c r="I11" s="75"/>
    </row>
    <row r="12" spans="1:9" x14ac:dyDescent="0.25">
      <c r="B12" s="62" t="s">
        <v>114</v>
      </c>
      <c r="C12" s="62"/>
      <c r="D12" s="62"/>
      <c r="E12" s="75">
        <f>Equity</f>
        <v>25000</v>
      </c>
      <c r="F12" s="75"/>
      <c r="G12" s="75"/>
      <c r="H12" s="75"/>
      <c r="I12" s="75"/>
    </row>
    <row r="13" spans="1:9" x14ac:dyDescent="0.25">
      <c r="B13" s="62" t="s">
        <v>113</v>
      </c>
      <c r="C13" s="62"/>
      <c r="D13" s="62"/>
      <c r="E13" s="75">
        <f>LOAN</f>
        <v>89000</v>
      </c>
      <c r="F13" s="75"/>
      <c r="G13" s="75"/>
      <c r="H13" s="75"/>
      <c r="I13" s="75"/>
    </row>
    <row r="14" spans="1:9" x14ac:dyDescent="0.25">
      <c r="B14" s="62" t="s">
        <v>150</v>
      </c>
      <c r="C14" s="62"/>
      <c r="D14" s="62"/>
      <c r="E14" s="75">
        <f>LCoE</f>
        <v>87.20905931944165</v>
      </c>
      <c r="F14" s="75"/>
      <c r="G14" s="75"/>
      <c r="H14" s="75"/>
      <c r="I14" s="75"/>
    </row>
    <row r="15" spans="1:9" x14ac:dyDescent="0.25">
      <c r="B15" s="62" t="s">
        <v>28</v>
      </c>
      <c r="C15" s="62"/>
      <c r="D15" s="62"/>
      <c r="E15" s="75">
        <f>+FinaIndicators!E43</f>
        <v>-83114.969172431811</v>
      </c>
      <c r="F15" s="75"/>
      <c r="G15" s="75"/>
      <c r="H15" s="75"/>
      <c r="I15" s="75"/>
    </row>
    <row r="16" spans="1:9" x14ac:dyDescent="0.25">
      <c r="B16" s="62" t="s">
        <v>29</v>
      </c>
      <c r="C16" s="62"/>
      <c r="D16" s="62"/>
      <c r="E16" s="76">
        <f>+FinaIndicators!E44</f>
        <v>1.4288484963508541E-2</v>
      </c>
      <c r="F16" s="76"/>
      <c r="G16" s="76"/>
      <c r="H16" s="76"/>
      <c r="I16" s="76"/>
    </row>
    <row r="17" spans="2:9" x14ac:dyDescent="0.25">
      <c r="B17" s="62" t="s">
        <v>194</v>
      </c>
      <c r="C17" s="62"/>
      <c r="D17" s="62"/>
      <c r="E17" s="77">
        <f>+'FinInd+CO2'!E44</f>
        <v>-26192.412686633728</v>
      </c>
      <c r="F17" s="67"/>
      <c r="G17" s="67"/>
      <c r="H17" s="67"/>
      <c r="I17" s="67"/>
    </row>
    <row r="18" spans="2:9" x14ac:dyDescent="0.25">
      <c r="B18" s="62" t="s">
        <v>195</v>
      </c>
      <c r="C18" s="62"/>
      <c r="D18" s="62"/>
      <c r="E18" s="76">
        <f>+FinaIndicators!E44</f>
        <v>1.4288484963508541E-2</v>
      </c>
      <c r="F18" s="67"/>
      <c r="G18" s="67"/>
      <c r="H18" s="67"/>
      <c r="I18" s="67"/>
    </row>
    <row r="20" spans="2:9" x14ac:dyDescent="0.25">
      <c r="B20" s="60" t="s">
        <v>138</v>
      </c>
      <c r="C20" s="60"/>
    </row>
    <row r="21" spans="2:9" x14ac:dyDescent="0.25">
      <c r="B21" s="60"/>
      <c r="C21" s="60"/>
    </row>
  </sheetData>
  <mergeCells count="23">
    <mergeCell ref="B13:D13"/>
    <mergeCell ref="A7:D8"/>
    <mergeCell ref="B9:D9"/>
    <mergeCell ref="B10:D10"/>
    <mergeCell ref="B11:D11"/>
    <mergeCell ref="B12:D12"/>
    <mergeCell ref="E18:I18"/>
    <mergeCell ref="B20:C21"/>
    <mergeCell ref="B14:D14"/>
    <mergeCell ref="B15:D15"/>
    <mergeCell ref="B16:D16"/>
    <mergeCell ref="B17:D17"/>
    <mergeCell ref="B18:D18"/>
    <mergeCell ref="F3:I3"/>
    <mergeCell ref="E14:I14"/>
    <mergeCell ref="E15:I15"/>
    <mergeCell ref="E16:I16"/>
    <mergeCell ref="E17:I17"/>
    <mergeCell ref="E9:I9"/>
    <mergeCell ref="E10:I10"/>
    <mergeCell ref="E11:I11"/>
    <mergeCell ref="E12:I12"/>
    <mergeCell ref="E13:I13"/>
  </mergeCells>
  <hyperlinks>
    <hyperlink ref="B20:C21" location="ESCOGrafFina!A5" display="NAZAD" xr:uid="{00000000-0004-0000-0D00-000000000000}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3:P40"/>
  <sheetViews>
    <sheetView topLeftCell="A9" workbookViewId="0">
      <selection activeCell="M36" sqref="M36"/>
    </sheetView>
  </sheetViews>
  <sheetFormatPr defaultRowHeight="15" x14ac:dyDescent="0.25"/>
  <cols>
    <col min="2" max="2" width="36.42578125" customWidth="1"/>
    <col min="7" max="7" width="10.28515625" customWidth="1"/>
    <col min="11" max="11" width="10.140625" bestFit="1" customWidth="1"/>
    <col min="13" max="13" width="10.140625" customWidth="1"/>
  </cols>
  <sheetData>
    <row r="3" spans="1:14" ht="16.5" x14ac:dyDescent="0.35">
      <c r="C3" s="56" t="s">
        <v>158</v>
      </c>
      <c r="D3" s="56"/>
      <c r="E3" s="56"/>
      <c r="F3" s="56"/>
    </row>
    <row r="7" spans="1:14" ht="15" customHeight="1" x14ac:dyDescent="0.25">
      <c r="A7" s="15" t="s">
        <v>32</v>
      </c>
      <c r="B7" t="s">
        <v>33</v>
      </c>
      <c r="E7">
        <v>1</v>
      </c>
      <c r="G7" s="19" t="s">
        <v>11</v>
      </c>
      <c r="H7" t="s">
        <v>50</v>
      </c>
      <c r="M7" s="19" t="s">
        <v>3</v>
      </c>
      <c r="N7" t="s">
        <v>4</v>
      </c>
    </row>
    <row r="8" spans="1:14" x14ac:dyDescent="0.25">
      <c r="B8" t="s">
        <v>34</v>
      </c>
      <c r="E8">
        <v>2</v>
      </c>
      <c r="H8" t="s">
        <v>51</v>
      </c>
      <c r="N8" t="s">
        <v>5</v>
      </c>
    </row>
    <row r="9" spans="1:14" x14ac:dyDescent="0.25">
      <c r="B9" t="s">
        <v>35</v>
      </c>
      <c r="E9">
        <v>3</v>
      </c>
      <c r="H9" t="s">
        <v>52</v>
      </c>
      <c r="N9" t="s">
        <v>6</v>
      </c>
    </row>
    <row r="10" spans="1:14" x14ac:dyDescent="0.25">
      <c r="B10" t="s">
        <v>36</v>
      </c>
      <c r="E10">
        <v>4</v>
      </c>
      <c r="H10" t="s">
        <v>53</v>
      </c>
      <c r="N10" t="s">
        <v>7</v>
      </c>
    </row>
    <row r="11" spans="1:14" x14ac:dyDescent="0.25">
      <c r="B11" t="s">
        <v>37</v>
      </c>
      <c r="E11">
        <v>5</v>
      </c>
      <c r="H11" t="s">
        <v>54</v>
      </c>
      <c r="N11" t="s">
        <v>8</v>
      </c>
    </row>
    <row r="12" spans="1:14" x14ac:dyDescent="0.25">
      <c r="B12" t="s">
        <v>38</v>
      </c>
      <c r="E12">
        <v>6</v>
      </c>
      <c r="H12" t="s">
        <v>55</v>
      </c>
      <c r="N12" t="s">
        <v>9</v>
      </c>
    </row>
    <row r="13" spans="1:14" x14ac:dyDescent="0.25">
      <c r="B13" t="s">
        <v>39</v>
      </c>
      <c r="E13">
        <v>7</v>
      </c>
      <c r="H13" t="s">
        <v>56</v>
      </c>
    </row>
    <row r="14" spans="1:14" x14ac:dyDescent="0.25">
      <c r="B14" t="s">
        <v>40</v>
      </c>
      <c r="E14">
        <v>8</v>
      </c>
      <c r="H14" t="s">
        <v>12</v>
      </c>
    </row>
    <row r="15" spans="1:14" x14ac:dyDescent="0.25">
      <c r="B15" t="s">
        <v>41</v>
      </c>
      <c r="E15">
        <v>9</v>
      </c>
      <c r="G15" s="11"/>
      <c r="H15" t="s">
        <v>57</v>
      </c>
      <c r="M15" s="19" t="s">
        <v>10</v>
      </c>
      <c r="N15" t="s">
        <v>59</v>
      </c>
    </row>
    <row r="16" spans="1:14" x14ac:dyDescent="0.25">
      <c r="B16" t="s">
        <v>42</v>
      </c>
      <c r="E16">
        <v>10</v>
      </c>
      <c r="G16" s="11"/>
      <c r="H16" t="s">
        <v>58</v>
      </c>
      <c r="N16" t="s">
        <v>60</v>
      </c>
    </row>
    <row r="17" spans="2:16" x14ac:dyDescent="0.25">
      <c r="B17" t="s">
        <v>43</v>
      </c>
      <c r="E17">
        <v>11</v>
      </c>
      <c r="N17" t="s">
        <v>61</v>
      </c>
    </row>
    <row r="18" spans="2:16" x14ac:dyDescent="0.25">
      <c r="B18" t="s">
        <v>44</v>
      </c>
      <c r="E18">
        <v>12</v>
      </c>
      <c r="N18" t="s">
        <v>62</v>
      </c>
    </row>
    <row r="19" spans="2:16" ht="18" x14ac:dyDescent="0.35">
      <c r="B19" t="s">
        <v>45</v>
      </c>
      <c r="E19">
        <v>13</v>
      </c>
      <c r="N19" t="s">
        <v>63</v>
      </c>
    </row>
    <row r="20" spans="2:16" x14ac:dyDescent="0.25">
      <c r="B20" t="s">
        <v>46</v>
      </c>
      <c r="E20">
        <v>14</v>
      </c>
    </row>
    <row r="21" spans="2:16" ht="18" x14ac:dyDescent="0.35">
      <c r="B21" t="s">
        <v>47</v>
      </c>
      <c r="E21">
        <v>15</v>
      </c>
      <c r="H21" s="62" t="s">
        <v>152</v>
      </c>
      <c r="I21" s="62"/>
      <c r="J21" s="62"/>
      <c r="M21" s="19" t="s">
        <v>12</v>
      </c>
      <c r="N21" t="s">
        <v>64</v>
      </c>
    </row>
    <row r="22" spans="2:16" x14ac:dyDescent="0.25">
      <c r="B22" t="s">
        <v>48</v>
      </c>
      <c r="E22">
        <v>16</v>
      </c>
      <c r="I22" t="s">
        <v>153</v>
      </c>
      <c r="K22" s="3">
        <f>+UnosPodataka!F21</f>
        <v>30000</v>
      </c>
      <c r="L22" s="18">
        <v>0</v>
      </c>
      <c r="N22" t="s">
        <v>65</v>
      </c>
    </row>
    <row r="23" spans="2:16" x14ac:dyDescent="0.25">
      <c r="B23" t="s">
        <v>49</v>
      </c>
      <c r="E23">
        <v>17</v>
      </c>
      <c r="I23" t="s">
        <v>154</v>
      </c>
      <c r="K23" s="3">
        <f>+LOAN</f>
        <v>89000</v>
      </c>
      <c r="L23" s="18">
        <v>0.12</v>
      </c>
      <c r="N23" t="s">
        <v>66</v>
      </c>
    </row>
    <row r="24" spans="2:16" x14ac:dyDescent="0.25">
      <c r="B24" t="s">
        <v>12</v>
      </c>
      <c r="I24" t="s">
        <v>155</v>
      </c>
      <c r="K24" s="3">
        <f>+Equity</f>
        <v>25000</v>
      </c>
      <c r="L24" s="7">
        <v>5.8299999999999998E-2</v>
      </c>
      <c r="N24" t="s">
        <v>67</v>
      </c>
    </row>
    <row r="25" spans="2:16" x14ac:dyDescent="0.25">
      <c r="B25" s="14">
        <f>VLOOKUP(Pocetna!M12,B7:E23,4,FALSE)</f>
        <v>10</v>
      </c>
      <c r="J25" t="s">
        <v>156</v>
      </c>
      <c r="K25" s="3">
        <f>SUM(K22:K24)</f>
        <v>144000</v>
      </c>
      <c r="L25" s="7">
        <f>+(K22*L22+K23*L23+K24*L24)/K25</f>
        <v>8.428819444444445E-2</v>
      </c>
      <c r="N25" t="s">
        <v>68</v>
      </c>
    </row>
    <row r="26" spans="2:16" x14ac:dyDescent="0.25">
      <c r="B26" s="10"/>
      <c r="N26" t="s">
        <v>157</v>
      </c>
    </row>
    <row r="27" spans="2:16" x14ac:dyDescent="0.25">
      <c r="N27" t="s">
        <v>69</v>
      </c>
    </row>
    <row r="28" spans="2:16" x14ac:dyDescent="0.25">
      <c r="B28" s="24"/>
      <c r="M28" s="19" t="s">
        <v>13</v>
      </c>
    </row>
    <row r="29" spans="2:16" x14ac:dyDescent="0.25">
      <c r="B29" s="25"/>
      <c r="N29" s="35" t="s">
        <v>14</v>
      </c>
      <c r="O29" s="35"/>
      <c r="P29" s="36">
        <v>0.2</v>
      </c>
    </row>
    <row r="30" spans="2:16" x14ac:dyDescent="0.25">
      <c r="N30" s="35" t="s">
        <v>15</v>
      </c>
      <c r="O30" s="35"/>
      <c r="P30" s="36">
        <v>0.22</v>
      </c>
    </row>
    <row r="31" spans="2:16" x14ac:dyDescent="0.25">
      <c r="N31" s="35" t="s">
        <v>16</v>
      </c>
      <c r="O31" s="35"/>
      <c r="P31" s="36">
        <v>0.27</v>
      </c>
    </row>
    <row r="32" spans="2:16" x14ac:dyDescent="0.25">
      <c r="N32" s="35" t="s">
        <v>17</v>
      </c>
      <c r="O32" s="35"/>
      <c r="P32" s="36">
        <v>0.28000000000000003</v>
      </c>
    </row>
    <row r="33" spans="14:16" x14ac:dyDescent="0.25">
      <c r="N33" s="35" t="s">
        <v>18</v>
      </c>
      <c r="O33" s="35"/>
      <c r="P33" s="36">
        <v>0.8</v>
      </c>
    </row>
    <row r="34" spans="14:16" x14ac:dyDescent="0.25">
      <c r="N34" s="35" t="s">
        <v>19</v>
      </c>
      <c r="O34" s="35"/>
      <c r="P34" s="36">
        <v>0.49399999999999999</v>
      </c>
    </row>
    <row r="35" spans="14:16" x14ac:dyDescent="0.25">
      <c r="N35" s="35" t="s">
        <v>23</v>
      </c>
      <c r="O35" s="35"/>
      <c r="P35" s="36">
        <v>0</v>
      </c>
    </row>
    <row r="36" spans="14:16" x14ac:dyDescent="0.25">
      <c r="N36" s="35" t="s">
        <v>20</v>
      </c>
      <c r="O36" s="35"/>
      <c r="P36" s="36">
        <v>0.4</v>
      </c>
    </row>
    <row r="37" spans="14:16" x14ac:dyDescent="0.25">
      <c r="N37" s="35" t="s">
        <v>21</v>
      </c>
      <c r="O37" s="35"/>
      <c r="P37" s="36">
        <v>0.33</v>
      </c>
    </row>
    <row r="38" spans="14:16" x14ac:dyDescent="0.25">
      <c r="N38" s="35" t="s">
        <v>22</v>
      </c>
      <c r="O38" s="35"/>
      <c r="P38" s="36">
        <v>0</v>
      </c>
    </row>
    <row r="39" spans="14:16" x14ac:dyDescent="0.25">
      <c r="N39" s="35" t="s">
        <v>151</v>
      </c>
      <c r="O39" s="35"/>
      <c r="P39" s="37">
        <v>0.33</v>
      </c>
    </row>
    <row r="40" spans="14:16" x14ac:dyDescent="0.25">
      <c r="N40" s="35" t="s">
        <v>159</v>
      </c>
      <c r="P40" s="36">
        <v>0.22</v>
      </c>
    </row>
  </sheetData>
  <sheetProtection selectLockedCells="1"/>
  <mergeCells count="2">
    <mergeCell ref="H21:J21"/>
    <mergeCell ref="C3:F3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B3:P31"/>
  <sheetViews>
    <sheetView workbookViewId="0">
      <selection activeCell="M24" sqref="M24"/>
    </sheetView>
  </sheetViews>
  <sheetFormatPr defaultRowHeight="15" x14ac:dyDescent="0.25"/>
  <cols>
    <col min="5" max="5" width="16.85546875" customWidth="1"/>
    <col min="6" max="6" width="15.28515625" customWidth="1"/>
    <col min="12" max="12" width="19.85546875" customWidth="1"/>
    <col min="13" max="13" width="14" customWidth="1"/>
  </cols>
  <sheetData>
    <row r="3" spans="2:16" ht="16.5" x14ac:dyDescent="0.35">
      <c r="F3" s="56" t="s">
        <v>158</v>
      </c>
      <c r="G3" s="56"/>
      <c r="H3" s="56"/>
      <c r="I3" s="56"/>
    </row>
    <row r="7" spans="2:16" x14ac:dyDescent="0.25">
      <c r="B7" s="66" t="s">
        <v>103</v>
      </c>
      <c r="C7" s="66"/>
      <c r="D7" s="66"/>
      <c r="E7" s="66"/>
      <c r="F7" s="1" t="s">
        <v>1</v>
      </c>
      <c r="I7" s="64" t="s">
        <v>103</v>
      </c>
      <c r="J7" s="64"/>
      <c r="K7" s="64"/>
      <c r="L7" s="64"/>
      <c r="M7" s="1" t="s">
        <v>24</v>
      </c>
      <c r="O7" s="61" t="s">
        <v>139</v>
      </c>
      <c r="P7" s="61"/>
    </row>
    <row r="8" spans="2:16" x14ac:dyDescent="0.25">
      <c r="O8" s="61"/>
      <c r="P8" s="61"/>
    </row>
    <row r="9" spans="2:16" x14ac:dyDescent="0.25">
      <c r="B9" s="65" t="s">
        <v>50</v>
      </c>
      <c r="C9" s="65"/>
      <c r="D9" s="65"/>
      <c r="E9" s="65"/>
      <c r="F9" s="8">
        <v>5000</v>
      </c>
      <c r="I9" s="63" t="s">
        <v>59</v>
      </c>
      <c r="J9" s="63"/>
      <c r="K9" s="63"/>
      <c r="L9" s="63"/>
      <c r="M9" s="3">
        <v>0</v>
      </c>
    </row>
    <row r="10" spans="2:16" x14ac:dyDescent="0.25">
      <c r="B10" s="65" t="s">
        <v>51</v>
      </c>
      <c r="C10" s="65"/>
      <c r="D10" s="65"/>
      <c r="E10" s="65"/>
      <c r="F10" s="8">
        <v>2000</v>
      </c>
      <c r="I10" s="63" t="s">
        <v>60</v>
      </c>
      <c r="J10" s="63"/>
      <c r="K10" s="63"/>
      <c r="L10" s="63"/>
      <c r="M10" s="7">
        <v>1</v>
      </c>
      <c r="O10" s="60" t="s">
        <v>138</v>
      </c>
      <c r="P10" s="60"/>
    </row>
    <row r="11" spans="2:16" x14ac:dyDescent="0.25">
      <c r="B11" s="65" t="s">
        <v>52</v>
      </c>
      <c r="C11" s="65"/>
      <c r="D11" s="65"/>
      <c r="E11" s="65"/>
      <c r="F11" s="8">
        <v>80000</v>
      </c>
      <c r="I11" s="63" t="s">
        <v>61</v>
      </c>
      <c r="J11" s="63"/>
      <c r="K11" s="63"/>
      <c r="L11" s="63"/>
      <c r="M11" s="20">
        <v>0.03</v>
      </c>
      <c r="O11" s="60"/>
      <c r="P11" s="60"/>
    </row>
    <row r="12" spans="2:16" x14ac:dyDescent="0.25">
      <c r="B12" s="65" t="s">
        <v>53</v>
      </c>
      <c r="C12" s="65"/>
      <c r="D12" s="65"/>
      <c r="E12" s="65"/>
      <c r="F12" s="8">
        <v>20000</v>
      </c>
      <c r="I12" s="63" t="s">
        <v>62</v>
      </c>
      <c r="J12" s="63"/>
      <c r="K12" s="63"/>
      <c r="L12" s="63"/>
      <c r="M12" s="20">
        <v>2.5000000000000001E-2</v>
      </c>
    </row>
    <row r="13" spans="2:16" x14ac:dyDescent="0.25">
      <c r="B13" s="65" t="s">
        <v>54</v>
      </c>
      <c r="C13" s="65"/>
      <c r="D13" s="65"/>
      <c r="E13" s="65"/>
      <c r="F13" s="8">
        <v>25000</v>
      </c>
      <c r="I13" s="63" t="s">
        <v>106</v>
      </c>
      <c r="J13" s="63"/>
      <c r="K13" s="63"/>
      <c r="L13" s="63"/>
      <c r="M13" s="21">
        <v>97.44</v>
      </c>
    </row>
    <row r="14" spans="2:16" x14ac:dyDescent="0.25">
      <c r="B14" s="65" t="s">
        <v>55</v>
      </c>
      <c r="C14" s="65"/>
      <c r="D14" s="65"/>
      <c r="E14" s="65"/>
      <c r="F14" s="8">
        <v>1500</v>
      </c>
      <c r="I14" s="23"/>
      <c r="J14" s="23"/>
      <c r="K14" s="23"/>
      <c r="L14" s="23"/>
      <c r="M14" s="21"/>
    </row>
    <row r="15" spans="2:16" x14ac:dyDescent="0.25">
      <c r="B15" s="65" t="s">
        <v>56</v>
      </c>
      <c r="C15" s="65"/>
      <c r="D15" s="65"/>
      <c r="E15" s="65"/>
      <c r="F15" s="8">
        <v>1500</v>
      </c>
      <c r="I15" s="23"/>
      <c r="J15" s="23"/>
      <c r="K15" s="23"/>
      <c r="L15" s="23"/>
      <c r="M15" s="21"/>
    </row>
    <row r="16" spans="2:16" x14ac:dyDescent="0.25">
      <c r="B16" s="65" t="s">
        <v>12</v>
      </c>
      <c r="C16" s="65"/>
      <c r="D16" s="65"/>
      <c r="E16" s="65"/>
      <c r="F16" s="8">
        <v>2000</v>
      </c>
      <c r="I16" s="23"/>
      <c r="J16" s="23"/>
      <c r="K16" s="23"/>
      <c r="L16" s="23"/>
      <c r="M16" s="21"/>
    </row>
    <row r="17" spans="2:13" x14ac:dyDescent="0.25">
      <c r="B17" s="65" t="s">
        <v>57</v>
      </c>
      <c r="C17" s="65"/>
      <c r="D17" s="65"/>
      <c r="E17" s="65"/>
      <c r="F17" s="8">
        <v>2000</v>
      </c>
      <c r="I17" s="67"/>
      <c r="J17" s="67"/>
      <c r="K17" s="67"/>
      <c r="L17" s="67"/>
      <c r="M17" s="7"/>
    </row>
    <row r="18" spans="2:13" x14ac:dyDescent="0.25">
      <c r="B18" s="65" t="s">
        <v>58</v>
      </c>
      <c r="C18" s="65"/>
      <c r="D18" s="65"/>
      <c r="E18" s="65"/>
      <c r="F18" s="8">
        <v>5000</v>
      </c>
      <c r="I18" s="63" t="s">
        <v>67</v>
      </c>
      <c r="J18" s="63"/>
      <c r="K18" s="63"/>
      <c r="L18" s="63"/>
      <c r="M18" s="20">
        <v>0.06</v>
      </c>
    </row>
    <row r="19" spans="2:13" x14ac:dyDescent="0.25">
      <c r="E19" s="4" t="s">
        <v>104</v>
      </c>
      <c r="F19" s="3">
        <f>SUM(F9:F18)</f>
        <v>144000</v>
      </c>
      <c r="I19" s="63" t="s">
        <v>68</v>
      </c>
      <c r="J19" s="63"/>
      <c r="K19" s="63"/>
      <c r="L19" s="63"/>
      <c r="M19" s="20">
        <v>0.12</v>
      </c>
    </row>
    <row r="20" spans="2:13" x14ac:dyDescent="0.25">
      <c r="I20" s="63" t="s">
        <v>157</v>
      </c>
      <c r="J20" s="63"/>
      <c r="K20" s="63"/>
      <c r="L20" s="63"/>
      <c r="M20" s="20">
        <v>5.8299999999999998E-2</v>
      </c>
    </row>
    <row r="21" spans="2:13" x14ac:dyDescent="0.25">
      <c r="B21" s="63" t="s">
        <v>5</v>
      </c>
      <c r="C21" s="63"/>
      <c r="D21" s="63"/>
      <c r="E21" s="63"/>
      <c r="F21" s="8">
        <v>30000</v>
      </c>
      <c r="I21" s="63" t="s">
        <v>65</v>
      </c>
      <c r="J21" s="63"/>
      <c r="K21" s="63"/>
      <c r="L21" s="63"/>
      <c r="M21" s="22">
        <v>8</v>
      </c>
    </row>
    <row r="22" spans="2:13" x14ac:dyDescent="0.25">
      <c r="B22" s="63"/>
      <c r="C22" s="63"/>
      <c r="D22" s="63"/>
      <c r="E22" s="63"/>
      <c r="F22" s="8"/>
      <c r="I22" s="63" t="s">
        <v>69</v>
      </c>
      <c r="J22" s="63"/>
      <c r="K22" s="63"/>
      <c r="L22" s="63"/>
      <c r="M22" s="8" t="s">
        <v>151</v>
      </c>
    </row>
    <row r="23" spans="2:13" x14ac:dyDescent="0.25">
      <c r="B23" s="63"/>
      <c r="C23" s="63"/>
      <c r="D23" s="63"/>
      <c r="E23" s="63"/>
      <c r="F23" s="3"/>
      <c r="I23" s="63" t="s">
        <v>107</v>
      </c>
      <c r="J23" s="63"/>
      <c r="K23" s="63"/>
      <c r="L23" s="63"/>
      <c r="M23" s="3">
        <v>0.22</v>
      </c>
    </row>
    <row r="24" spans="2:13" x14ac:dyDescent="0.25">
      <c r="B24" s="63"/>
      <c r="C24" s="63"/>
      <c r="D24" s="63"/>
      <c r="E24" s="63"/>
      <c r="I24" s="63" t="s">
        <v>66</v>
      </c>
      <c r="J24" s="63"/>
      <c r="K24" s="63"/>
      <c r="L24" s="63"/>
      <c r="M24" s="9">
        <v>20</v>
      </c>
    </row>
    <row r="25" spans="2:13" x14ac:dyDescent="0.25">
      <c r="B25" s="63"/>
      <c r="C25" s="63"/>
      <c r="D25" s="63"/>
      <c r="E25" s="63"/>
    </row>
    <row r="26" spans="2:13" x14ac:dyDescent="0.25">
      <c r="B26" s="63" t="s">
        <v>9</v>
      </c>
      <c r="C26" s="63"/>
      <c r="D26" s="63"/>
      <c r="E26" s="63"/>
      <c r="F26" s="8">
        <v>25000</v>
      </c>
      <c r="M26" s="12"/>
    </row>
    <row r="27" spans="2:13" x14ac:dyDescent="0.25">
      <c r="E27" s="5" t="s">
        <v>104</v>
      </c>
      <c r="F27" s="3">
        <f>IF(SUM(F21:F26)&gt;F19,FALSE,SUM(F21:F26))</f>
        <v>55000</v>
      </c>
      <c r="M27" s="3"/>
    </row>
    <row r="28" spans="2:13" x14ac:dyDescent="0.25">
      <c r="F28" s="3"/>
      <c r="M28" s="12"/>
    </row>
    <row r="29" spans="2:13" x14ac:dyDescent="0.25">
      <c r="E29" s="4" t="s">
        <v>105</v>
      </c>
      <c r="F29" s="3">
        <f>F19-F27</f>
        <v>89000</v>
      </c>
    </row>
    <row r="31" spans="2:13" x14ac:dyDescent="0.25">
      <c r="G31" s="6"/>
      <c r="H31" s="54"/>
    </row>
  </sheetData>
  <sheetProtection selectLockedCells="1"/>
  <mergeCells count="34">
    <mergeCell ref="O7:P8"/>
    <mergeCell ref="O10:P11"/>
    <mergeCell ref="B14:E14"/>
    <mergeCell ref="B16:E16"/>
    <mergeCell ref="B15:E15"/>
    <mergeCell ref="I10:L10"/>
    <mergeCell ref="I11:L11"/>
    <mergeCell ref="I12:L12"/>
    <mergeCell ref="I13:L13"/>
    <mergeCell ref="B11:E11"/>
    <mergeCell ref="I9:L9"/>
    <mergeCell ref="B10:E10"/>
    <mergeCell ref="F3:I3"/>
    <mergeCell ref="I18:L18"/>
    <mergeCell ref="I17:L17"/>
    <mergeCell ref="I24:L24"/>
    <mergeCell ref="I20:L20"/>
    <mergeCell ref="I19:L19"/>
    <mergeCell ref="I21:L21"/>
    <mergeCell ref="B25:E25"/>
    <mergeCell ref="B26:E26"/>
    <mergeCell ref="I7:L7"/>
    <mergeCell ref="B21:E21"/>
    <mergeCell ref="B22:E22"/>
    <mergeCell ref="B23:E23"/>
    <mergeCell ref="B24:E24"/>
    <mergeCell ref="B12:E12"/>
    <mergeCell ref="B13:E13"/>
    <mergeCell ref="B17:E17"/>
    <mergeCell ref="B18:E18"/>
    <mergeCell ref="B7:E7"/>
    <mergeCell ref="B9:E9"/>
    <mergeCell ref="I22:L22"/>
    <mergeCell ref="I23:L23"/>
  </mergeCells>
  <dataValidations count="22">
    <dataValidation type="whole" allowBlank="1" showInputMessage="1" showErrorMessage="1" errorTitle="Restriction" error="Ne može biti više od 100.000 EUR" promptTitle="Project planning" prompt="Unesi troškove planiranja projekta" sqref="F9" xr:uid="{00000000-0002-0000-0200-000000000000}">
      <formula1>0</formula1>
      <formula2>100000</formula2>
    </dataValidation>
    <dataValidation type="whole" allowBlank="1" showInputMessage="1" showErrorMessage="1" errorTitle="Restriction" error="Ne može biti više od 100.000 EUR" promptTitle="Supervision &amp; Project management" prompt="Unesi planirani iznos za nadzor i upravljanje projektom" sqref="F10" xr:uid="{00000000-0002-0000-0200-000001000000}">
      <formula1>0</formula1>
      <formula2>100000</formula2>
    </dataValidation>
    <dataValidation type="whole" allowBlank="1" showInputMessage="1" showErrorMessage="1" errorTitle="Restriction" error="Ne može biti više od 10.000.000 EUR" promptTitle="DHGEM" prompt="Materijal i oprema" sqref="F11" xr:uid="{00000000-0002-0000-0200-000002000000}">
      <formula1>0</formula1>
      <formula2>10000000</formula2>
    </dataValidation>
    <dataValidation type="whole" allowBlank="1" showInputMessage="1" showErrorMessage="1" errorTitle="Restriction" error="Ne može biti više od 100.000 EUR" promptTitle="Installation of TSV &amp; CA" prompt="Troškovi instalacije TS ventila i alokatora troškova" sqref="F12" xr:uid="{00000000-0002-0000-0200-000003000000}">
      <formula1>0</formula1>
      <formula2>100000</formula2>
    </dataValidation>
    <dataValidation type="whole" allowBlank="1" showInputMessage="1" showErrorMessage="1" errorTitle="Restriction" error="Ne mođe biti više od 100.000 EUR" promptTitle="Procurement of heat meters" prompt="Nabavka merila toplote" sqref="F13:F16" xr:uid="{00000000-0002-0000-0200-000004000000}">
      <formula1>0</formula1>
      <formula2>100000</formula2>
    </dataValidation>
    <dataValidation type="whole" allowBlank="1" showInputMessage="1" showErrorMessage="1" errorTitle="Restriction" error="Ne može biti više od 100.000 EUR" promptTitle="Installation of heat meters" prompt="Instalacija merila toplote" sqref="F17" xr:uid="{00000000-0002-0000-0200-000005000000}">
      <formula1>0</formula1>
      <formula2>100000</formula2>
    </dataValidation>
    <dataValidation type="whole" allowBlank="1" showInputMessage="1" showErrorMessage="1" errorTitle="Restriction" error="Ne može biti više od 100.000 EUR" promptTitle="Hydraulic Balancing" prompt="Hidraulično balansiranje i setovanje početnih podataka" sqref="F18" xr:uid="{00000000-0002-0000-0200-000006000000}">
      <formula1>0</formula1>
      <formula2>100000</formula2>
    </dataValidation>
    <dataValidation type="whole" allowBlank="1" showInputMessage="1" showErrorMessage="1" errorTitle="Restriction" error="Maksimalni iznos do 100.000 EUR" promptTitle="Grant scheme" prompt="Unesi iznos granta ili učešća krajnjih korisnika ili sopstveni kapital javne ESCO kompanije" sqref="F21:F26" xr:uid="{00000000-0002-0000-0200-000007000000}">
      <formula1>0</formula1>
      <formula2>100000</formula2>
    </dataValidation>
    <dataValidation type="whole" allowBlank="1" showInputMessage="1" showErrorMessage="1" errorTitle="Restriction" error="Iznos ne može biti veći od 50.000 EUR godišnje" promptTitle="ESCOCOST" prompt="Iznos godišnjih troškova poslovanja ESCO koji se odnose na projekat. Preporučuje se vrednost do 1% od investicije." sqref="M9" xr:uid="{00000000-0002-0000-0200-000008000000}">
      <formula1>0</formula1>
      <formula2>50000</formula2>
    </dataValidation>
    <dataValidation type="decimal" allowBlank="1" showInputMessage="1" showErrorMessage="1" errorTitle="Restriction" error="Iznos ne može biti veći od 100%" promptTitle="ESCOFEE" prompt="Iznos godišnjih troškova prihoda ESCO od projekta. Ako se unese 100% smatra se da sav prihod od ušteda zadržava ESCO._x000a_Ako se unese manje od 100% onda razlika od unete vrednosti do 100% se dodeljuje krajnjim korisnicima." sqref="M10" xr:uid="{00000000-0002-0000-0200-000009000000}">
      <formula1>0</formula1>
      <formula2>1</formula2>
    </dataValidation>
    <dataValidation type="decimal" allowBlank="1" showInputMessage="1" showErrorMessage="1" errorTitle="Restriction" error="Iznos ne može biti veći od 10%" promptTitle="MAINCOST" prompt="Troškovi godišnjeg održavanja. Preporučuje se maksimalni iznos 10%." sqref="M11" xr:uid="{00000000-0002-0000-0200-00000A000000}">
      <formula1>0</formula1>
      <formula2>0.1</formula2>
    </dataValidation>
    <dataValidation allowBlank="1" showInputMessage="1" showErrorMessage="1" errorTitle="Restriction" error="Iznos ne može biti veći od 7%" promptTitle="DA" prompt="Troškovi amortizacije prema računovodstvenim standardima - za toplinske pumpe ta stopa je 10%." sqref="M12" xr:uid="{00000000-0002-0000-0200-00000B000000}"/>
    <dataValidation allowBlank="1" showInputMessage="1" showErrorMessage="1" errorTitle="Restriction" error="Dozvoljen iznos najviše 10%" promptTitle="DR" prompt="Preporučuje se društvena diskontna stopa od 6%. Kod finansijskih tokova diskontna stopa je ponderisana sredina kamatnih stopa (prinosa na kapital) uključenih kapitala, gde je ponder iznos uključenih kapitala." sqref="M18" xr:uid="{00000000-0002-0000-0200-00000D000000}"/>
    <dataValidation allowBlank="1" showInputMessage="1" showErrorMessage="1" errorTitle="Restriction" error="Nije dozvoljen iznos veći od 7.5%" promptTitle="IR" prompt="Kamatne stope se računaju tako da se doda kamatna stopa banke (najčešće 7.,5%) na iznos 3M Belibor (5.,58%) ili referentne kamatne stope NBS (6%). Ukupno je to uglavnom preko 13%. U ovom primeru uzeli smo kamatnu stopu od 12%." sqref="M19" xr:uid="{00000000-0002-0000-0200-00000E000000}"/>
    <dataValidation type="whole" allowBlank="1" showInputMessage="1" showErrorMessage="1" errorTitle="Restriction" error="Maksimalno dozvoljen period 20 godina" promptTitle="GSTF" prompt="Preporučuje se period 12 do 15 godina za mere energetske efikasnosti u zgradama, a 15 do 20 godina za ostale projekte." sqref="M21" xr:uid="{00000000-0002-0000-0200-00000F000000}">
      <formula1>0</formula1>
      <formula2>20</formula2>
    </dataValidation>
    <dataValidation type="whole" allowBlank="1" showInputMessage="1" showErrorMessage="1" errorTitle="Restriction" error="Polje se ne popunjava" promptTitle="Vremeski okvir projekta" prompt="Preporučuje se:_x000a_7 godina za TS ventile_x000a_15 godina za SCADA_x000a_20 godina ostalo" sqref="M24" xr:uid="{00000000-0002-0000-0200-000010000000}">
      <formula1>0</formula1>
      <formula2>20</formula2>
    </dataValidation>
    <dataValidation type="whole" allowBlank="1" showInputMessage="1" showErrorMessage="1" errorTitle="Restriction" error="Maksimalno dozvoljen broj 10.000" promptTitle="NCAHM" prompt="Unesi broj alokatora troškova ili merila" sqref="M26" xr:uid="{00000000-0002-0000-0200-000011000000}">
      <formula1>0</formula1>
      <formula2>10000</formula2>
    </dataValidation>
    <dataValidation type="decimal" allowBlank="1" showInputMessage="1" showErrorMessage="1" errorTitle="Restriction" error="Iznos jednog očitavanja ne može biti veći od 10 EUR" promptTitle="READINGCOST" prompt="Troškovi jednog očitavanja. Preporučuje se vrednost 1.50 EUR/očitavanju" sqref="M27" xr:uid="{00000000-0002-0000-0200-000012000000}">
      <formula1>0</formula1>
      <formula2>10</formula2>
    </dataValidation>
    <dataValidation type="decimal" allowBlank="1" showInputMessage="1" showErrorMessage="1" errorTitle="Restriction" error="Minimalno jedno očitavanje tokom godine a ne više od 12" promptTitle="READINGNO" prompt="Broj očitavanja. Preporučuje se vrednost 1, 2, 7 ili 12 očitavanja tokom godine." sqref="M28" xr:uid="{00000000-0002-0000-0200-000013000000}">
      <formula1>1</formula1>
      <formula2>12</formula2>
    </dataValidation>
    <dataValidation allowBlank="1" showInputMessage="1" showErrorMessage="1" errorTitle="Restriction" error="Iznos ne može biti veći od 110 EUR/t CO2" promptTitle="CO2TAX" prompt="Iznos koji je važio na izabrani datum (11. april 2023. godine) jeste 97.44 EUR/t CO2." sqref="M13" xr:uid="{A1E67525-8D91-4F63-ACFD-77D2F70E54FA}"/>
    <dataValidation allowBlank="1" showInputMessage="1" showErrorMessage="1" errorTitle="Restriction" error="Nije dozvoljen iznos veći od 7.5%" promptTitle="PP" prompt="Prosečan prinos na sopstveni kapital (profitna stopa) prosečno je iznosila za toplane u Srbiji 5.,83%." sqref="M20" xr:uid="{8D1EA445-FE63-46BA-87BE-C59577AFC37B}"/>
    <dataValidation type="whole" allowBlank="1" showInputMessage="1" showErrorMessage="1" errorTitle="Restriction" error="Iznos ne može biti veći od 110 EUR/t CO2" promptTitle="CO2TAX" sqref="M14:M16" xr:uid="{3B5B0EEF-A06E-4ABE-AA96-232669ACB1E6}">
      <formula1>0</formula1>
      <formula2>110</formula2>
    </dataValidation>
  </dataValidations>
  <hyperlinks>
    <hyperlink ref="O7:P8" location="Ustede!A2" display="DALJE" xr:uid="{00000000-0004-0000-0200-000000000000}"/>
    <hyperlink ref="O10:P11" location="Pocetna!M9" display="NAZAD" xr:uid="{00000000-0004-0000-0200-000001000000}"/>
  </hyperlink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errorTitle="Restriction" error="Prihvatljive su samo ponuđene opcije" promptTitle="Grant&amp;Equity" prompt="Šeme podsticaja (grantovi) i učešće sopstvenog kapitala u finansiranju mera EE i OIE" xr:uid="{00000000-0002-0000-0200-000014000000}">
          <x14:formula1>
            <xm:f>PomTab1!$N$7:$N$13</xm:f>
          </x14:formula1>
          <xm:sqref>B21:E26</xm:sqref>
        </x14:dataValidation>
        <x14:dataValidation type="list" allowBlank="1" showInputMessage="1" showErrorMessage="1" errorTitle="Restriction" error="Samo stavke ponuđene u listi" promptTitle="CO2 Tax" prompt="Iznos karbon takse" xr:uid="{00000000-0002-0000-0200-000015000000}">
          <x14:formula1>
            <xm:f>PomTab1!$N$15:$N$20</xm:f>
          </x14:formula1>
          <xm:sqref>I13:L16</xm:sqref>
        </x14:dataValidation>
        <x14:dataValidation type="list" allowBlank="1" showInputMessage="1" showErrorMessage="1" errorTitle="Restriction" error="Samo stavke ponuđene u listi" promptTitle="Operational costs" prompt="Godišnji operativni troškovi ESCO vezani za projekat" xr:uid="{00000000-0002-0000-0200-000016000000}">
          <x14:formula1>
            <xm:f>PomTab1!$N$15:$N$20</xm:f>
          </x14:formula1>
          <xm:sqref>I9:L9</xm:sqref>
        </x14:dataValidation>
        <x14:dataValidation type="list" allowBlank="1" showInputMessage="1" showErrorMessage="1" errorTitle="Restriction" error="Samo stavke ponuđene u listi" promptTitle="ESCO fee" prompt="Nadoknada/stimulacija koju ESCO odobrava krajnjim korisnicima" xr:uid="{00000000-0002-0000-0200-000017000000}">
          <x14:formula1>
            <xm:f>PomTab1!$N$15:$N$20</xm:f>
          </x14:formula1>
          <xm:sqref>I10:L10</xm:sqref>
        </x14:dataValidation>
        <x14:dataValidation type="list" allowBlank="1" showInputMessage="1" showErrorMessage="1" errorTitle="Restriction" error="Samo stavke ponuđene u listi" promptTitle="Meintenance cots" prompt="Troškovi godišnjeg održavanja" xr:uid="{00000000-0002-0000-0200-000018000000}">
          <x14:formula1>
            <xm:f>PomTab1!$N$15:$N$20</xm:f>
          </x14:formula1>
          <xm:sqref>I11:L11</xm:sqref>
        </x14:dataValidation>
        <x14:dataValidation type="list" allowBlank="1" showInputMessage="1" showErrorMessage="1" errorTitle="Restriction" error="Samo stavke ponuđene u listi" promptTitle="Amortization and depreciation" prompt="Amortizacija materijalnih dobara i deprecijacija intelektualne svojine" xr:uid="{00000000-0002-0000-0200-000019000000}">
          <x14:formula1>
            <xm:f>PomTab1!$N$15:$N$20</xm:f>
          </x14:formula1>
          <xm:sqref>I12:L12</xm:sqref>
        </x14:dataValidation>
        <x14:dataValidation type="list" allowBlank="1" showInputMessage="1" showErrorMessage="1" errorTitle="Restriction" error="Izabrati sa liste" promptTitle="FUELENERGY" prompt="Vrsta goriva ili energije" xr:uid="{00000000-0002-0000-0200-00001F000000}">
          <x14:formula1>
            <xm:f>PomTab1!$N$29:$N$39</xm:f>
          </x14:formula1>
          <xm:sqref>M22</xm:sqref>
        </x14:dataValidation>
        <x14:dataValidation type="list" allowBlank="1" showInputMessage="1" showErrorMessage="1" errorTitle="Restriction" error="Moguće je uneti samo ponuđene opcije" promptTitle="Costs" prompt="Unesi troškove projekta" xr:uid="{00000000-0002-0000-0200-000020000000}">
          <x14:formula1>
            <xm:f>PomTab1!$H$7:$H$16</xm:f>
          </x14:formula1>
          <xm:sqref>B9:E18</xm:sqref>
        </x14:dataValidation>
        <x14:dataValidation type="list" allowBlank="1" showInputMessage="1" showErrorMessage="1" errorTitle="Restriction" error="Može se izabrati samo ponuđena opcija." promptTitle="Time frame" prompt="Ne popunjavati" xr:uid="{00000000-0002-0000-0200-00001A000000}">
          <x14:formula1>
            <xm:f>PomTab1!$N$21:$N$27</xm:f>
          </x14:formula1>
          <xm:sqref>I24:L24</xm:sqref>
        </x14:dataValidation>
        <x14:dataValidation type="list" allowBlank="1" showInputMessage="1" showErrorMessage="1" errorTitle="Restriction" error="Može se izabrati samo ponuđena opcija." promptTitle="Interest rate" prompt="Kamatna stopa" xr:uid="{00000000-0002-0000-0200-00001B000000}">
          <x14:formula1>
            <xm:f>PomTab1!$N$21:$N$27</xm:f>
          </x14:formula1>
          <xm:sqref>I19:I20 J19:L19</xm:sqref>
        </x14:dataValidation>
        <x14:dataValidation type="list" allowBlank="1" showInputMessage="1" showErrorMessage="1" errorTitle="Restriction" error="Može se izabrati samo ponuđena opcija." promptTitle="Discount rate" prompt="Diskontna stopa" xr:uid="{00000000-0002-0000-0200-00001C000000}">
          <x14:formula1>
            <xm:f>PomTab1!$N$21:$N$27</xm:f>
          </x14:formula1>
          <xm:sqref>I18:L18</xm:sqref>
        </x14:dataValidation>
        <x14:dataValidation type="list" allowBlank="1" showInputMessage="1" showErrorMessage="1" errorTitle="Restriction" error="Može se izabrati samo ponuđena opcija." promptTitle="Pay-off period / garantee servic" prompt="Period otplate investicije ili period u kome se usluga ugovara" xr:uid="{00000000-0002-0000-0200-00001D000000}">
          <x14:formula1>
            <xm:f>PomTab1!$N$21:$N$27</xm:f>
          </x14:formula1>
          <xm:sqref>I21:L21</xm:sqref>
        </x14:dataValidation>
        <x14:dataValidation type="list" allowBlank="1" showInputMessage="1" showErrorMessage="1" errorTitle="Restriction" error="Može se izabrati samo ponuđena opcija." promptTitle="Conversion factor" prompt="Faktor konverzije za izračunavanje emisije CO2" xr:uid="{00000000-0002-0000-0200-00001E000000}">
          <x14:formula1>
            <xm:f>PomTab1!$N$21:$N$27</xm:f>
          </x14:formula1>
          <xm:sqref>I22:L23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3:P20"/>
  <sheetViews>
    <sheetView workbookViewId="0">
      <selection activeCell="K9" sqref="K9:L9"/>
    </sheetView>
  </sheetViews>
  <sheetFormatPr defaultRowHeight="15" x14ac:dyDescent="0.25"/>
  <cols>
    <col min="6" max="6" width="12.42578125" customWidth="1"/>
    <col min="7" max="7" width="13.5703125" customWidth="1"/>
    <col min="8" max="8" width="26.42578125" customWidth="1"/>
    <col min="9" max="9" width="16.140625" customWidth="1"/>
  </cols>
  <sheetData>
    <row r="3" spans="1:16" ht="16.5" x14ac:dyDescent="0.35">
      <c r="F3" s="56" t="s">
        <v>158</v>
      </c>
      <c r="G3" s="56"/>
      <c r="H3" s="56"/>
      <c r="I3" s="56"/>
    </row>
    <row r="7" spans="1:16" ht="21" x14ac:dyDescent="0.35">
      <c r="A7" s="68" t="s">
        <v>83</v>
      </c>
      <c r="B7" s="68"/>
      <c r="C7" s="68"/>
      <c r="D7" s="68"/>
      <c r="E7" s="68"/>
      <c r="F7" s="68"/>
    </row>
    <row r="9" spans="1:16" x14ac:dyDescent="0.25">
      <c r="A9" t="s">
        <v>84</v>
      </c>
      <c r="F9" s="28">
        <v>7000</v>
      </c>
      <c r="G9" s="6" t="s">
        <v>94</v>
      </c>
      <c r="H9" s="2" t="s">
        <v>99</v>
      </c>
      <c r="I9" t="s">
        <v>70</v>
      </c>
      <c r="J9" s="6" t="s">
        <v>71</v>
      </c>
      <c r="L9" s="60" t="s">
        <v>138</v>
      </c>
      <c r="M9" s="60"/>
      <c r="O9" s="61" t="s">
        <v>139</v>
      </c>
      <c r="P9" s="61"/>
    </row>
    <row r="10" spans="1:16" x14ac:dyDescent="0.25">
      <c r="A10" t="s">
        <v>85</v>
      </c>
      <c r="F10" s="29">
        <v>4500</v>
      </c>
      <c r="G10" s="6" t="s">
        <v>95</v>
      </c>
      <c r="H10" s="69" t="s">
        <v>100</v>
      </c>
      <c r="I10" s="26" t="s">
        <v>72</v>
      </c>
      <c r="J10" s="27">
        <v>10.776999999999999</v>
      </c>
      <c r="L10" s="60"/>
      <c r="M10" s="60"/>
      <c r="O10" s="61"/>
      <c r="P10" s="61"/>
    </row>
    <row r="11" spans="1:16" x14ac:dyDescent="0.25">
      <c r="A11" t="s">
        <v>86</v>
      </c>
      <c r="F11" s="29">
        <v>3570</v>
      </c>
      <c r="G11" s="6" t="s">
        <v>95</v>
      </c>
      <c r="H11" s="69"/>
      <c r="I11" s="26" t="s">
        <v>73</v>
      </c>
      <c r="J11" s="27">
        <v>12.632999999999999</v>
      </c>
    </row>
    <row r="12" spans="1:16" ht="17.25" x14ac:dyDescent="0.25">
      <c r="A12" t="s">
        <v>87</v>
      </c>
      <c r="F12" s="30">
        <v>60</v>
      </c>
      <c r="G12" s="6" t="s">
        <v>96</v>
      </c>
      <c r="H12" s="69"/>
      <c r="I12" s="26" t="s">
        <v>74</v>
      </c>
      <c r="J12" s="27">
        <v>13.029</v>
      </c>
    </row>
    <row r="13" spans="1:16" ht="17.25" x14ac:dyDescent="0.25">
      <c r="A13" t="s">
        <v>88</v>
      </c>
      <c r="F13" s="30">
        <v>12</v>
      </c>
      <c r="G13" s="6" t="s">
        <v>96</v>
      </c>
      <c r="H13" s="69"/>
      <c r="I13" s="26" t="s">
        <v>75</v>
      </c>
      <c r="J13" s="27">
        <v>13.808</v>
      </c>
    </row>
    <row r="14" spans="1:16" x14ac:dyDescent="0.25">
      <c r="A14" t="s">
        <v>89</v>
      </c>
      <c r="F14" s="32" t="s">
        <v>75</v>
      </c>
      <c r="G14" s="6" t="s">
        <v>97</v>
      </c>
      <c r="H14" s="69"/>
      <c r="I14" s="26" t="s">
        <v>76</v>
      </c>
      <c r="J14" s="27">
        <v>15.896000000000001</v>
      </c>
    </row>
    <row r="15" spans="1:16" x14ac:dyDescent="0.25">
      <c r="A15" t="s">
        <v>90</v>
      </c>
      <c r="F15" s="29">
        <v>500</v>
      </c>
      <c r="G15" s="6" t="s">
        <v>98</v>
      </c>
      <c r="H15" s="69"/>
      <c r="I15" s="26" t="s">
        <v>77</v>
      </c>
      <c r="J15" s="27">
        <v>18.728999999999999</v>
      </c>
    </row>
    <row r="16" spans="1:16" x14ac:dyDescent="0.25">
      <c r="A16" t="s">
        <v>91</v>
      </c>
      <c r="F16" s="31">
        <v>0.4</v>
      </c>
      <c r="G16" s="6" t="s">
        <v>97</v>
      </c>
      <c r="H16" s="69"/>
      <c r="I16" s="26" t="s">
        <v>78</v>
      </c>
      <c r="J16" s="27">
        <v>20.376999999999999</v>
      </c>
    </row>
    <row r="17" spans="1:10" ht="17.25" x14ac:dyDescent="0.25">
      <c r="A17" t="s">
        <v>101</v>
      </c>
      <c r="F17" s="28">
        <v>113</v>
      </c>
      <c r="G17" s="6" t="s">
        <v>102</v>
      </c>
      <c r="H17" s="69"/>
      <c r="I17" s="26" t="s">
        <v>79</v>
      </c>
      <c r="J17" s="27">
        <v>19.843</v>
      </c>
    </row>
    <row r="18" spans="1:10" x14ac:dyDescent="0.25">
      <c r="I18" s="26" t="s">
        <v>80</v>
      </c>
      <c r="J18" s="27">
        <v>22.786999999999999</v>
      </c>
    </row>
    <row r="19" spans="1:10" x14ac:dyDescent="0.25">
      <c r="A19" t="s">
        <v>92</v>
      </c>
      <c r="F19" s="33">
        <f>(13.33-1)*F16*F15*186*24*2*VLOOKUP(F14,I10:J19,2,FALSE)/10^6+(F10-F11)*4.2*(F12-F13)/3600</f>
        <v>356.08311398399997</v>
      </c>
      <c r="G19" s="6" t="s">
        <v>25</v>
      </c>
      <c r="I19" s="26" t="s">
        <v>81</v>
      </c>
      <c r="J19" s="27">
        <v>22.266999999999999</v>
      </c>
    </row>
    <row r="20" spans="1:10" x14ac:dyDescent="0.25">
      <c r="A20" t="s">
        <v>93</v>
      </c>
      <c r="F20" s="34">
        <f>((F9*F19)+(F10-F11)*F17)/Kurs_EUR</f>
        <v>22109.914952787065</v>
      </c>
      <c r="G20" s="6" t="s">
        <v>26</v>
      </c>
      <c r="I20" s="26" t="s">
        <v>82</v>
      </c>
      <c r="J20" s="27">
        <v>23.71</v>
      </c>
    </row>
  </sheetData>
  <sheetProtection selectLockedCells="1"/>
  <mergeCells count="5">
    <mergeCell ref="A7:F7"/>
    <mergeCell ref="H10:H17"/>
    <mergeCell ref="L9:M10"/>
    <mergeCell ref="O9:P10"/>
    <mergeCell ref="F3:I3"/>
  </mergeCells>
  <dataValidations count="1">
    <dataValidation type="list" allowBlank="1" showInputMessage="1" showErrorMessage="1" errorTitle="Ograničenje" error="Može se izabrati samo pečnik naveden u listi." promptTitle="DN" prompt="Unesi prosečan prečnik deonice" sqref="F14" xr:uid="{00000000-0002-0000-0300-000000000000}">
      <formula1>$I$10:$I$20</formula1>
    </dataValidation>
  </dataValidations>
  <hyperlinks>
    <hyperlink ref="L9:M10" location="UnosPodataka!B2" display="NAZAD" xr:uid="{00000000-0004-0000-0300-000000000000}"/>
    <hyperlink ref="O9:P10" location="Anuiteti!B2" display="DALJE" xr:uid="{00000000-0004-0000-0300-000001000000}"/>
  </hyperlink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3:M32"/>
  <sheetViews>
    <sheetView workbookViewId="0">
      <selection activeCell="D30" sqref="D30"/>
    </sheetView>
  </sheetViews>
  <sheetFormatPr defaultRowHeight="15" x14ac:dyDescent="0.25"/>
  <cols>
    <col min="3" max="3" width="32.140625" customWidth="1"/>
    <col min="4" max="4" width="32.28515625" customWidth="1"/>
    <col min="5" max="5" width="14.140625" customWidth="1"/>
  </cols>
  <sheetData>
    <row r="3" spans="2:13" ht="16.5" x14ac:dyDescent="0.35">
      <c r="D3" s="56" t="s">
        <v>158</v>
      </c>
      <c r="E3" s="56"/>
      <c r="F3" s="56"/>
      <c r="G3" s="56"/>
    </row>
    <row r="7" spans="2:13" ht="21" x14ac:dyDescent="0.35">
      <c r="B7" s="68" t="s">
        <v>108</v>
      </c>
      <c r="C7" s="68"/>
      <c r="D7" s="68"/>
      <c r="E7" s="68"/>
      <c r="F7" s="68"/>
      <c r="G7" s="68"/>
    </row>
    <row r="9" spans="2:13" x14ac:dyDescent="0.25">
      <c r="B9" t="s">
        <v>137</v>
      </c>
      <c r="D9" s="6" t="s">
        <v>1</v>
      </c>
      <c r="E9" s="13">
        <f>LOAN</f>
        <v>89000</v>
      </c>
      <c r="I9" s="60" t="s">
        <v>138</v>
      </c>
      <c r="J9" s="60"/>
      <c r="L9" s="61" t="s">
        <v>139</v>
      </c>
      <c r="M9" s="61"/>
    </row>
    <row r="10" spans="2:13" x14ac:dyDescent="0.25">
      <c r="I10" s="60"/>
      <c r="J10" s="60"/>
      <c r="L10" s="61"/>
      <c r="M10" s="61"/>
    </row>
    <row r="11" spans="2:13" x14ac:dyDescent="0.25">
      <c r="B11" s="14" t="s">
        <v>27</v>
      </c>
      <c r="C11" s="14" t="s">
        <v>109</v>
      </c>
      <c r="D11" s="14" t="s">
        <v>110</v>
      </c>
      <c r="E11" s="14" t="s">
        <v>111</v>
      </c>
    </row>
    <row r="13" spans="2:13" x14ac:dyDescent="0.25">
      <c r="B13">
        <v>1</v>
      </c>
      <c r="C13" s="3">
        <f>E9</f>
        <v>89000</v>
      </c>
      <c r="D13" s="3">
        <f>IF(UnosPodataka!M19=0,"",UnosPodataka!$M$19*Anuiteti!$E$9)</f>
        <v>10680</v>
      </c>
      <c r="E13" s="3">
        <f>PMT(UnosPodataka!$M$19,UnosPodataka!$M$21,Anuiteti!$E$9)</f>
        <v>-17915.952882517424</v>
      </c>
    </row>
    <row r="14" spans="2:13" x14ac:dyDescent="0.25">
      <c r="B14">
        <f>IF(B13&lt;UnosPodataka!$M$21,B13+1,"")</f>
        <v>2</v>
      </c>
      <c r="C14" s="3">
        <f>IF(B14&lt;&gt;"",SUM(C13:E13),"")</f>
        <v>81764.04711748258</v>
      </c>
      <c r="D14" s="3">
        <f>IF(B14&lt;&gt;"",C14*UnosPodataka!$M$19,"")</f>
        <v>9811.6856540979097</v>
      </c>
      <c r="E14" s="3">
        <f>IF(B14&lt;&gt;"",PMT(UnosPodataka!$M$19,UnosPodataka!$M$21,Anuiteti!$E$9),"")</f>
        <v>-17915.952882517424</v>
      </c>
    </row>
    <row r="15" spans="2:13" x14ac:dyDescent="0.25">
      <c r="B15">
        <f>IF(B14&lt;UnosPodataka!$M$21,B14+1,"")</f>
        <v>3</v>
      </c>
      <c r="C15" s="3">
        <f t="shared" ref="C15:C32" si="0">IF(B15&lt;&gt;"",SUM(C14:E14),"")</f>
        <v>73659.779889063066</v>
      </c>
      <c r="D15" s="3">
        <f>IF(B15&lt;&gt;"",C15*UnosPodataka!$M$19,"")</f>
        <v>8839.1735866875679</v>
      </c>
      <c r="E15" s="3">
        <f>IF(B15&lt;&gt;"",PMT(UnosPodataka!$M$19,UnosPodataka!$M$21,Anuiteti!$E$9),"")</f>
        <v>-17915.952882517424</v>
      </c>
    </row>
    <row r="16" spans="2:13" x14ac:dyDescent="0.25">
      <c r="B16">
        <f>IF(B15&lt;UnosPodataka!$M$21,B15+1,"")</f>
        <v>4</v>
      </c>
      <c r="C16" s="3">
        <f t="shared" si="0"/>
        <v>64583.000593233213</v>
      </c>
      <c r="D16" s="3">
        <f>IF(B16&lt;&gt;"",C16*UnosPodataka!$M$19,"")</f>
        <v>7749.9600711879857</v>
      </c>
      <c r="E16" s="3">
        <f>IF(B16&lt;&gt;"",PMT(UnosPodataka!$M$19,UnosPodataka!$M$21,Anuiteti!$E$9),"")</f>
        <v>-17915.952882517424</v>
      </c>
    </row>
    <row r="17" spans="2:5" x14ac:dyDescent="0.25">
      <c r="B17">
        <f>IF(B16&lt;UnosPodataka!$M$21,B16+1,"")</f>
        <v>5</v>
      </c>
      <c r="C17" s="3">
        <f t="shared" si="0"/>
        <v>54417.007781903783</v>
      </c>
      <c r="D17" s="3">
        <f>IF(B17&lt;&gt;"",C17*UnosPodataka!$M$19,"")</f>
        <v>6530.0409338284535</v>
      </c>
      <c r="E17" s="3">
        <f>IF(B17&lt;&gt;"",PMT(UnosPodataka!$M$19,UnosPodataka!$M$21,Anuiteti!$E$9),"")</f>
        <v>-17915.952882517424</v>
      </c>
    </row>
    <row r="18" spans="2:5" x14ac:dyDescent="0.25">
      <c r="B18">
        <f>IF(B17&lt;UnosPodataka!$M$21,B17+1,"")</f>
        <v>6</v>
      </c>
      <c r="C18" s="3">
        <f t="shared" si="0"/>
        <v>43031.095833214815</v>
      </c>
      <c r="D18" s="3">
        <f>IF(B18&lt;&gt;"",C18*UnosPodataka!$M$19,"")</f>
        <v>5163.7314999857772</v>
      </c>
      <c r="E18" s="3">
        <f>IF(B18&lt;&gt;"",PMT(UnosPodataka!$M$19,UnosPodataka!$M$21,Anuiteti!$E$9),"")</f>
        <v>-17915.952882517424</v>
      </c>
    </row>
    <row r="19" spans="2:5" x14ac:dyDescent="0.25">
      <c r="B19">
        <f>IF(B18&lt;UnosPodataka!$M$21,B18+1,"")</f>
        <v>7</v>
      </c>
      <c r="C19" s="3">
        <f t="shared" si="0"/>
        <v>30278.874450683168</v>
      </c>
      <c r="D19" s="3">
        <f>IF(B19&lt;&gt;"",C19*UnosPodataka!$M$19,"")</f>
        <v>3633.4649340819801</v>
      </c>
      <c r="E19" s="3">
        <f>IF(B19&lt;&gt;"",PMT(UnosPodataka!$M$19,UnosPodataka!$M$21,Anuiteti!$E$9),"")</f>
        <v>-17915.952882517424</v>
      </c>
    </row>
    <row r="20" spans="2:5" x14ac:dyDescent="0.25">
      <c r="B20">
        <f>IF(B19&lt;UnosPodataka!$M$21,B19+1,"")</f>
        <v>8</v>
      </c>
      <c r="C20" s="3">
        <f t="shared" si="0"/>
        <v>15996.386502247722</v>
      </c>
      <c r="D20" s="3">
        <f>IF(B20&lt;&gt;"",C20*UnosPodataka!$M$19,"")</f>
        <v>1919.5663802697266</v>
      </c>
      <c r="E20" s="3">
        <f>IF(B20&lt;&gt;"",PMT(UnosPodataka!$M$19,UnosPodataka!$M$21,Anuiteti!$E$9),"")</f>
        <v>-17915.952882517424</v>
      </c>
    </row>
    <row r="21" spans="2:5" x14ac:dyDescent="0.25">
      <c r="B21" t="str">
        <f>IF(B20&lt;UnosPodataka!$M$21,B20+1,"")</f>
        <v/>
      </c>
      <c r="C21" s="3" t="str">
        <f t="shared" si="0"/>
        <v/>
      </c>
      <c r="D21" s="3" t="str">
        <f>IF(B21&lt;&gt;"",C21*UnosPodataka!$M$19,"")</f>
        <v/>
      </c>
      <c r="E21" s="3" t="str">
        <f>IF(B21&lt;&gt;"",PMT(UnosPodataka!$M$19,UnosPodataka!$M$21,Anuiteti!$E$9),"")</f>
        <v/>
      </c>
    </row>
    <row r="22" spans="2:5" x14ac:dyDescent="0.25">
      <c r="B22" t="str">
        <f>IF(B21&lt;UnosPodataka!$M$21,B21+1,"")</f>
        <v/>
      </c>
      <c r="C22" s="3" t="str">
        <f t="shared" si="0"/>
        <v/>
      </c>
      <c r="D22" s="3" t="str">
        <f>IF(B22&lt;&gt;"",C22*UnosPodataka!$M$19,"")</f>
        <v/>
      </c>
      <c r="E22" s="3" t="str">
        <f>IF(B22&lt;&gt;"",PMT(UnosPodataka!$M$19,UnosPodataka!$M$21,Anuiteti!$E$9),"")</f>
        <v/>
      </c>
    </row>
    <row r="23" spans="2:5" x14ac:dyDescent="0.25">
      <c r="B23" t="str">
        <f>IF(B22&lt;UnosPodataka!$M$21,B22+1,"")</f>
        <v/>
      </c>
      <c r="C23" s="3" t="str">
        <f t="shared" si="0"/>
        <v/>
      </c>
      <c r="D23" s="3" t="str">
        <f>IF(B23&lt;&gt;"",C23*UnosPodataka!$M$19,"")</f>
        <v/>
      </c>
      <c r="E23" s="3" t="str">
        <f>IF(B23&lt;&gt;"",PMT(UnosPodataka!$M$19,UnosPodataka!$M$21,Anuiteti!$E$9),"")</f>
        <v/>
      </c>
    </row>
    <row r="24" spans="2:5" x14ac:dyDescent="0.25">
      <c r="B24" t="str">
        <f>IF(B23&lt;UnosPodataka!$M$21,B23+1,"")</f>
        <v/>
      </c>
      <c r="C24" s="3" t="str">
        <f t="shared" si="0"/>
        <v/>
      </c>
      <c r="D24" s="3" t="str">
        <f>IF(B24&lt;&gt;"",C24*UnosPodataka!$M$19,"")</f>
        <v/>
      </c>
      <c r="E24" s="3" t="str">
        <f>IF(B24&lt;&gt;"",PMT(UnosPodataka!$M$19,UnosPodataka!$M$21,Anuiteti!$E$9),"")</f>
        <v/>
      </c>
    </row>
    <row r="25" spans="2:5" x14ac:dyDescent="0.25">
      <c r="B25" t="str">
        <f>IF(B24&lt;UnosPodataka!$M$21,B24+1,"")</f>
        <v/>
      </c>
      <c r="C25" s="3" t="str">
        <f t="shared" si="0"/>
        <v/>
      </c>
      <c r="D25" s="3" t="str">
        <f>IF(B25&lt;&gt;"",C25*UnosPodataka!$M$19,"")</f>
        <v/>
      </c>
      <c r="E25" s="3" t="str">
        <f>IF(B25&lt;&gt;"",PMT(UnosPodataka!$M$19,UnosPodataka!$M$21,Anuiteti!$E$9),"")</f>
        <v/>
      </c>
    </row>
    <row r="26" spans="2:5" x14ac:dyDescent="0.25">
      <c r="B26" t="str">
        <f>IF(B25&lt;UnosPodataka!$M$21,B25+1,"")</f>
        <v/>
      </c>
      <c r="C26" s="3" t="str">
        <f t="shared" si="0"/>
        <v/>
      </c>
      <c r="D26" s="3" t="str">
        <f>IF(B26&lt;&gt;"",C26*UnosPodataka!$M$19,"")</f>
        <v/>
      </c>
      <c r="E26" s="3" t="str">
        <f>IF(B26&lt;&gt;"",PMT(UnosPodataka!$M$19,UnosPodataka!$M$21,Anuiteti!$E$9),"")</f>
        <v/>
      </c>
    </row>
    <row r="27" spans="2:5" x14ac:dyDescent="0.25">
      <c r="B27" t="str">
        <f>IF(B26&lt;UnosPodataka!$M$21,B26+1,"")</f>
        <v/>
      </c>
      <c r="C27" s="3" t="str">
        <f t="shared" si="0"/>
        <v/>
      </c>
      <c r="D27" s="3" t="str">
        <f>IF(B27&lt;&gt;"",C27*UnosPodataka!$M$19,"")</f>
        <v/>
      </c>
      <c r="E27" s="3" t="str">
        <f>IF(B27&lt;&gt;"",PMT(UnosPodataka!$M$19,UnosPodataka!$M$21,Anuiteti!$E$9),"")</f>
        <v/>
      </c>
    </row>
    <row r="28" spans="2:5" x14ac:dyDescent="0.25">
      <c r="B28" t="str">
        <f>IF(B27&lt;UnosPodataka!$M$21,B27+1,"")</f>
        <v/>
      </c>
      <c r="C28" s="3" t="str">
        <f t="shared" si="0"/>
        <v/>
      </c>
      <c r="D28" s="3" t="str">
        <f>IF(B28&lt;&gt;"",C28*UnosPodataka!$M$19,"")</f>
        <v/>
      </c>
      <c r="E28" s="3" t="str">
        <f>IF(B28&lt;&gt;"",PMT(UnosPodataka!$M$19,UnosPodataka!$M$21,Anuiteti!$E$9),"")</f>
        <v/>
      </c>
    </row>
    <row r="29" spans="2:5" x14ac:dyDescent="0.25">
      <c r="B29" t="str">
        <f>IF(B28&lt;UnosPodataka!$M$21,B28+1,"")</f>
        <v/>
      </c>
      <c r="C29" s="3" t="str">
        <f t="shared" si="0"/>
        <v/>
      </c>
      <c r="D29" s="3" t="str">
        <f>IF(B29&lt;&gt;"",C29*UnosPodataka!$M$19,"")</f>
        <v/>
      </c>
      <c r="E29" s="3" t="str">
        <f>IF(B29&lt;&gt;"",PMT(UnosPodataka!$M$19,UnosPodataka!$M$21,Anuiteti!$E$9),"")</f>
        <v/>
      </c>
    </row>
    <row r="30" spans="2:5" x14ac:dyDescent="0.25">
      <c r="B30" t="str">
        <f>IF(B29&lt;UnosPodataka!$M$21,B29+1,"")</f>
        <v/>
      </c>
      <c r="C30" s="3" t="str">
        <f t="shared" si="0"/>
        <v/>
      </c>
      <c r="D30" s="3" t="str">
        <f>IF(B30&lt;&gt;"",C30*UnosPodataka!$M$19,"")</f>
        <v/>
      </c>
      <c r="E30" s="3" t="str">
        <f>IF(B30&lt;&gt;"",PMT(UnosPodataka!$M$19,UnosPodataka!$M$21,Anuiteti!$E$9),"")</f>
        <v/>
      </c>
    </row>
    <row r="31" spans="2:5" x14ac:dyDescent="0.25">
      <c r="B31" t="str">
        <f>IF(B30&lt;UnosPodataka!$M$21,B30+1,"")</f>
        <v/>
      </c>
      <c r="C31" s="3" t="str">
        <f t="shared" si="0"/>
        <v/>
      </c>
      <c r="D31" s="3" t="str">
        <f>IF(B31&lt;&gt;"",C31*UnosPodataka!$M$19,"")</f>
        <v/>
      </c>
      <c r="E31" s="3" t="str">
        <f>IF(B31&lt;&gt;"",PMT(UnosPodataka!$M$19,UnosPodataka!$M$21,Anuiteti!$E$9),"")</f>
        <v/>
      </c>
    </row>
    <row r="32" spans="2:5" x14ac:dyDescent="0.25">
      <c r="B32" t="str">
        <f>IF(B31&lt;UnosPodataka!$M$21,B31+1,"")</f>
        <v/>
      </c>
      <c r="C32" s="3" t="str">
        <f t="shared" si="0"/>
        <v/>
      </c>
      <c r="D32" s="3" t="str">
        <f>IF(B32&lt;&gt;"",C32*UnosPodataka!$M$19,"")</f>
        <v/>
      </c>
      <c r="E32" s="3" t="str">
        <f>IF(B32&lt;&gt;"",PMT(UnosPodataka!$M$19,UnosPodataka!$M$21,Anuiteti!$E$9),"")</f>
        <v/>
      </c>
    </row>
  </sheetData>
  <sheetProtection selectLockedCells="1" selectUnlockedCells="1"/>
  <mergeCells count="4">
    <mergeCell ref="B7:G7"/>
    <mergeCell ref="I9:J10"/>
    <mergeCell ref="L9:M10"/>
    <mergeCell ref="D3:G3"/>
  </mergeCells>
  <hyperlinks>
    <hyperlink ref="I9:J10" location="Ustede!L4" display="NAZAD" xr:uid="{00000000-0004-0000-0400-000000000000}"/>
    <hyperlink ref="L9:M10" location="FinaIndicators!A1" display="DALJE" xr:uid="{00000000-0004-0000-0400-000001000000}"/>
  </hyperlink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3:Z60"/>
  <sheetViews>
    <sheetView showZeros="0" zoomScale="80" zoomScaleNormal="80" workbookViewId="0">
      <selection activeCell="F23" sqref="F23"/>
    </sheetView>
  </sheetViews>
  <sheetFormatPr defaultRowHeight="15" x14ac:dyDescent="0.25"/>
  <cols>
    <col min="4" max="4" width="13.7109375" customWidth="1"/>
    <col min="5" max="5" width="13.28515625" customWidth="1"/>
    <col min="6" max="6" width="11.85546875" customWidth="1"/>
    <col min="7" max="8" width="11.28515625" customWidth="1"/>
    <col min="9" max="9" width="11.85546875" customWidth="1"/>
    <col min="10" max="10" width="12.140625" customWidth="1"/>
    <col min="11" max="11" width="11.7109375" customWidth="1"/>
    <col min="12" max="12" width="11.5703125" customWidth="1"/>
    <col min="13" max="13" width="11.85546875" customWidth="1"/>
    <col min="14" max="14" width="12.42578125" customWidth="1"/>
    <col min="15" max="15" width="12" customWidth="1"/>
    <col min="16" max="16" width="12.42578125" customWidth="1"/>
    <col min="17" max="17" width="11.5703125" customWidth="1"/>
    <col min="18" max="18" width="12.5703125" customWidth="1"/>
    <col min="19" max="19" width="12.140625" customWidth="1"/>
    <col min="20" max="20" width="11.28515625" customWidth="1"/>
    <col min="21" max="21" width="12.42578125" customWidth="1"/>
    <col min="22" max="22" width="12.7109375" customWidth="1"/>
    <col min="23" max="23" width="12.5703125" customWidth="1"/>
    <col min="24" max="24" width="12.140625" customWidth="1"/>
    <col min="25" max="25" width="11.5703125" customWidth="1"/>
  </cols>
  <sheetData>
    <row r="3" spans="1:25" ht="16.5" x14ac:dyDescent="0.35">
      <c r="F3" s="56" t="s">
        <v>158</v>
      </c>
      <c r="G3" s="56"/>
      <c r="H3" s="56"/>
      <c r="I3" s="56"/>
    </row>
    <row r="7" spans="1:25" ht="21" x14ac:dyDescent="0.35">
      <c r="A7" s="68" t="s">
        <v>112</v>
      </c>
      <c r="B7" s="68"/>
      <c r="C7" s="68"/>
      <c r="D7" s="68"/>
      <c r="I7" s="70" t="s">
        <v>138</v>
      </c>
      <c r="J7" s="70"/>
      <c r="N7" s="71" t="s">
        <v>139</v>
      </c>
      <c r="O7" s="71"/>
    </row>
    <row r="9" spans="1:25" x14ac:dyDescent="0.25">
      <c r="A9" s="59" t="s">
        <v>66</v>
      </c>
      <c r="B9" s="59"/>
      <c r="C9" s="59"/>
      <c r="D9" s="59"/>
      <c r="E9" s="14">
        <v>0</v>
      </c>
      <c r="F9" s="14">
        <v>1</v>
      </c>
      <c r="G9" s="14">
        <f>IF(F9&lt;UnosPodataka!$M$24,FinaIndicators!F9+1,"")</f>
        <v>2</v>
      </c>
      <c r="H9" s="14">
        <f>IF(G9&lt;UnosPodataka!$M$24,FinaIndicators!G9+1,"")</f>
        <v>3</v>
      </c>
      <c r="I9" s="14">
        <f>IF(H9&lt;UnosPodataka!$M$24,FinaIndicators!H9+1,"")</f>
        <v>4</v>
      </c>
      <c r="J9" s="14">
        <f>IF(I9&lt;UnosPodataka!$M$24,FinaIndicators!I9+1,"")</f>
        <v>5</v>
      </c>
      <c r="K9" s="14">
        <f>IF(J9&lt;UnosPodataka!$M$24,FinaIndicators!J9+1,"")</f>
        <v>6</v>
      </c>
      <c r="L9" s="14">
        <f>IF(K9&lt;UnosPodataka!$M$24,FinaIndicators!K9+1,"")</f>
        <v>7</v>
      </c>
      <c r="M9" s="14">
        <f>IF(L9&lt;UnosPodataka!$M$24,FinaIndicators!L9+1,"")</f>
        <v>8</v>
      </c>
      <c r="N9" s="14">
        <f>IF(M9&lt;UnosPodataka!$M$24,FinaIndicators!M9+1,"")</f>
        <v>9</v>
      </c>
      <c r="O9" s="14">
        <f>IF(N9&lt;UnosPodataka!$M$24,FinaIndicators!N9+1,"")</f>
        <v>10</v>
      </c>
      <c r="P9" s="14">
        <f>IF(O9&lt;UnosPodataka!$M$24,FinaIndicators!O9+1,"")</f>
        <v>11</v>
      </c>
      <c r="Q9" s="14">
        <f>IF(P9&lt;UnosPodataka!$M$24,FinaIndicators!P9+1,"")</f>
        <v>12</v>
      </c>
      <c r="R9" s="14">
        <f>IF(Q9&lt;UnosPodataka!$M$24,FinaIndicators!Q9+1,"")</f>
        <v>13</v>
      </c>
      <c r="S9" s="14">
        <f>IF(R9&lt;UnosPodataka!$M$24,FinaIndicators!R9+1,"")</f>
        <v>14</v>
      </c>
      <c r="T9" s="14">
        <f>IF(S9&lt;UnosPodataka!$M$24,FinaIndicators!S9+1,"")</f>
        <v>15</v>
      </c>
      <c r="U9" s="14">
        <f>IF(T9&lt;UnosPodataka!$M$24,FinaIndicators!T9+1,"")</f>
        <v>16</v>
      </c>
      <c r="V9" s="14">
        <f>IF(U9&lt;UnosPodataka!$M$24,FinaIndicators!U9+1,"")</f>
        <v>17</v>
      </c>
      <c r="W9" s="14">
        <f>IF(V9&lt;UnosPodataka!$M$24,FinaIndicators!V9+1,"")</f>
        <v>18</v>
      </c>
      <c r="X9" s="14">
        <f>IF(W9&lt;UnosPodataka!$M$24,FinaIndicators!W9+1,"")</f>
        <v>19</v>
      </c>
      <c r="Y9" s="14">
        <f>IF(X9&lt;UnosPodataka!$M$24,FinaIndicators!X9+1,"")</f>
        <v>20</v>
      </c>
    </row>
    <row r="11" spans="1:25" x14ac:dyDescent="0.25">
      <c r="A11" s="63" t="s">
        <v>113</v>
      </c>
      <c r="B11" s="63"/>
      <c r="C11" s="63"/>
      <c r="D11" s="63"/>
      <c r="E11" s="3">
        <f>LOAN</f>
        <v>89000</v>
      </c>
    </row>
    <row r="12" spans="1:25" x14ac:dyDescent="0.25">
      <c r="A12" s="63" t="s">
        <v>114</v>
      </c>
      <c r="B12" s="63"/>
      <c r="C12" s="63"/>
      <c r="D12" s="63"/>
      <c r="E12" s="3">
        <f>IF(Equity=0,LOAN,Equity)</f>
        <v>25000</v>
      </c>
    </row>
    <row r="13" spans="1:25" x14ac:dyDescent="0.25">
      <c r="A13" s="63" t="s">
        <v>160</v>
      </c>
      <c r="B13" s="63"/>
      <c r="C13" s="63"/>
      <c r="D13" s="63"/>
      <c r="E13" s="3">
        <f>+UnosPodataka!F21</f>
        <v>30000</v>
      </c>
    </row>
    <row r="14" spans="1:25" x14ac:dyDescent="0.25">
      <c r="A14" s="63" t="s">
        <v>125</v>
      </c>
      <c r="B14" s="63"/>
      <c r="C14" s="63"/>
      <c r="D14" s="63"/>
      <c r="F14" s="3">
        <f>IF(F9&lt;&gt;"",Ustede!$F$19,"")</f>
        <v>356.08311398399997</v>
      </c>
      <c r="G14" s="3">
        <f>IF(G9&lt;&gt;"",Ustede!$F$19,"")</f>
        <v>356.08311398399997</v>
      </c>
      <c r="H14" s="3">
        <f>IF(H9&lt;&gt;"",Ustede!$F$19,"")</f>
        <v>356.08311398399997</v>
      </c>
      <c r="I14" s="3">
        <f>IF(I9&lt;&gt;"",Ustede!$F$19,"")</f>
        <v>356.08311398399997</v>
      </c>
      <c r="J14" s="3">
        <f>IF(J9&lt;&gt;"",Ustede!$F$19,"")</f>
        <v>356.08311398399997</v>
      </c>
      <c r="K14" s="3">
        <f>IF(K9&lt;&gt;"",Ustede!$F$19,"")</f>
        <v>356.08311398399997</v>
      </c>
      <c r="L14" s="3">
        <f>IF(L9&lt;&gt;"",Ustede!$F$19,"")</f>
        <v>356.08311398399997</v>
      </c>
      <c r="M14" s="3">
        <f>IF(M9&lt;&gt;"",Ustede!$F$19,"")</f>
        <v>356.08311398399997</v>
      </c>
      <c r="N14" s="3">
        <f>IF(N9&lt;&gt;"",Ustede!$F$19,"")</f>
        <v>356.08311398399997</v>
      </c>
      <c r="O14" s="3">
        <f>IF(O9&lt;&gt;"",Ustede!$F$19,"")</f>
        <v>356.08311398399997</v>
      </c>
      <c r="P14" s="3">
        <f>IF(P9&lt;&gt;"",Ustede!$F$19,"")</f>
        <v>356.08311398399997</v>
      </c>
      <c r="Q14" s="3">
        <f>IF(Q9&lt;&gt;"",Ustede!$F$19,"")</f>
        <v>356.08311398399997</v>
      </c>
      <c r="R14" s="3">
        <f>IF(R9&lt;&gt;"",Ustede!$F$19,"")</f>
        <v>356.08311398399997</v>
      </c>
      <c r="S14" s="3">
        <f>IF(S9&lt;&gt;"",Ustede!$F$19,"")</f>
        <v>356.08311398399997</v>
      </c>
      <c r="T14" s="3">
        <f>IF(T9&lt;&gt;"",Ustede!$F$19,"")</f>
        <v>356.08311398399997</v>
      </c>
      <c r="U14" s="3">
        <f>IF(U9&lt;&gt;"",Ustede!$F$19,"")</f>
        <v>356.08311398399997</v>
      </c>
      <c r="V14" s="3">
        <f>IF(V9&lt;&gt;"",Ustede!$F$19,"")</f>
        <v>356.08311398399997</v>
      </c>
      <c r="W14" s="3">
        <f>IF(W9&lt;&gt;"",Ustede!$F$19,"")</f>
        <v>356.08311398399997</v>
      </c>
      <c r="X14" s="3">
        <f>IF(X9&lt;&gt;"",Ustede!$F$19,"")</f>
        <v>356.08311398399997</v>
      </c>
      <c r="Y14" s="3">
        <f>IF(Y9&lt;&gt;"",Ustede!$F$19,"")</f>
        <v>356.08311398399997</v>
      </c>
    </row>
    <row r="15" spans="1:25" x14ac:dyDescent="0.25">
      <c r="A15" s="63" t="s">
        <v>126</v>
      </c>
      <c r="B15" s="63"/>
      <c r="C15" s="63"/>
      <c r="D15" s="63"/>
      <c r="F15" s="3">
        <f>IF(F9&lt;&gt;"",(Ustede!$F$10-Ustede!$F$11),"")</f>
        <v>930</v>
      </c>
      <c r="G15" s="3">
        <f>IF(G9&lt;&gt;"",(Ustede!$F$10-Ustede!$F$11),"")</f>
        <v>930</v>
      </c>
      <c r="H15" s="3">
        <f>IF(H9&lt;&gt;"",(Ustede!$F$10-Ustede!$F$11),"")</f>
        <v>930</v>
      </c>
      <c r="I15" s="3">
        <f>IF(I9&lt;&gt;"",(Ustede!$F$10-Ustede!$F$11),"")</f>
        <v>930</v>
      </c>
      <c r="J15" s="3">
        <f>IF(J9&lt;&gt;"",(Ustede!$F$10-Ustede!$F$11),"")</f>
        <v>930</v>
      </c>
      <c r="K15" s="3">
        <f>IF(K9&lt;&gt;"",(Ustede!$F$10-Ustede!$F$11),"")</f>
        <v>930</v>
      </c>
      <c r="L15" s="3">
        <f>IF(L9&lt;&gt;"",(Ustede!$F$10-Ustede!$F$11),"")</f>
        <v>930</v>
      </c>
      <c r="M15" s="3">
        <f>IF(M9&lt;&gt;"",(Ustede!$F$10-Ustede!$F$11),"")</f>
        <v>930</v>
      </c>
      <c r="N15" s="3">
        <f>IF(N9&lt;&gt;"",(Ustede!$F$10-Ustede!$F$11),"")</f>
        <v>930</v>
      </c>
      <c r="O15" s="3">
        <f>IF(O9&lt;&gt;"",(Ustede!$F$10-Ustede!$F$11),"")</f>
        <v>930</v>
      </c>
      <c r="P15" s="3">
        <f>IF(P9&lt;&gt;"",(Ustede!$F$10-Ustede!$F$11),"")</f>
        <v>930</v>
      </c>
      <c r="Q15" s="3">
        <f>IF(Q9&lt;&gt;"",(Ustede!$F$10-Ustede!$F$11),"")</f>
        <v>930</v>
      </c>
      <c r="R15" s="3">
        <f>IF(R9&lt;&gt;"",(Ustede!$F$10-Ustede!$F$11),"")</f>
        <v>930</v>
      </c>
      <c r="S15" s="3">
        <f>IF(S9&lt;&gt;"",(Ustede!$F$10-Ustede!$F$11),"")</f>
        <v>930</v>
      </c>
      <c r="T15" s="3">
        <f>IF(T9&lt;&gt;"",(Ustede!$F$10-Ustede!$F$11),"")</f>
        <v>930</v>
      </c>
      <c r="U15" s="3">
        <f>IF(U9&lt;&gt;"",(Ustede!$F$10-Ustede!$F$11),"")</f>
        <v>930</v>
      </c>
      <c r="V15" s="3">
        <f>IF(V9&lt;&gt;"",(Ustede!$F$10-Ustede!$F$11),"")</f>
        <v>930</v>
      </c>
      <c r="W15" s="3">
        <f>IF(W9&lt;&gt;"",(Ustede!$F$10-Ustede!$F$11),"")</f>
        <v>930</v>
      </c>
      <c r="X15" s="3">
        <f>IF(X9&lt;&gt;"",(Ustede!$F$10-Ustede!$F$11),"")</f>
        <v>930</v>
      </c>
      <c r="Y15" s="3">
        <f>IF(Y9&lt;&gt;"",(Ustede!$F$10-Ustede!$F$11),"")</f>
        <v>930</v>
      </c>
    </row>
    <row r="16" spans="1:25" x14ac:dyDescent="0.25">
      <c r="A16" s="23"/>
      <c r="B16" s="23"/>
      <c r="C16" s="23"/>
      <c r="D16" s="2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25" x14ac:dyDescent="0.25">
      <c r="A17" s="59" t="s">
        <v>161</v>
      </c>
      <c r="B17" s="59"/>
      <c r="C17" s="59"/>
      <c r="D17" s="59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25" x14ac:dyDescent="0.25">
      <c r="A18" s="63" t="s">
        <v>115</v>
      </c>
      <c r="B18" s="63"/>
      <c r="C18" s="63"/>
      <c r="D18" s="63"/>
      <c r="F18" s="3">
        <f>IF(F9&lt;&gt;"",Ustede!$F$20,"")</f>
        <v>22109.914952787065</v>
      </c>
      <c r="G18" s="3">
        <f>IF(G9&lt;&gt;"",Ustede!$F$20,"")</f>
        <v>22109.914952787065</v>
      </c>
      <c r="H18" s="3">
        <f>IF(H9&lt;&gt;"",Ustede!$F$20,"")</f>
        <v>22109.914952787065</v>
      </c>
      <c r="I18" s="3">
        <f>IF(I9&lt;&gt;"",Ustede!$F$20,"")</f>
        <v>22109.914952787065</v>
      </c>
      <c r="J18" s="3">
        <f>IF(J9&lt;&gt;"",Ustede!$F$20,"")</f>
        <v>22109.914952787065</v>
      </c>
      <c r="K18" s="3">
        <f>IF(K9&lt;&gt;"",Ustede!$F$20,"")</f>
        <v>22109.914952787065</v>
      </c>
      <c r="L18" s="3">
        <f>IF(L9&lt;&gt;"",Ustede!$F$20,"")</f>
        <v>22109.914952787065</v>
      </c>
      <c r="M18" s="3">
        <f>IF(M9&lt;&gt;"",Ustede!$F$20,"")</f>
        <v>22109.914952787065</v>
      </c>
      <c r="N18" s="3">
        <f>IF(N9&lt;&gt;"",Ustede!$F$20,"")</f>
        <v>22109.914952787065</v>
      </c>
      <c r="O18" s="3">
        <f>IF(O9&lt;&gt;"",Ustede!$F$20,"")</f>
        <v>22109.914952787065</v>
      </c>
      <c r="P18" s="3">
        <f>IF(P9&lt;&gt;"",Ustede!$F$20,"")</f>
        <v>22109.914952787065</v>
      </c>
      <c r="Q18" s="3">
        <f>IF(Q9&lt;&gt;"",Ustede!$F$20,"")</f>
        <v>22109.914952787065</v>
      </c>
      <c r="R18" s="3">
        <f>IF(R9&lt;&gt;"",Ustede!$F$20,"")</f>
        <v>22109.914952787065</v>
      </c>
      <c r="S18" s="3">
        <f>IF(S9&lt;&gt;"",Ustede!$F$20,"")</f>
        <v>22109.914952787065</v>
      </c>
      <c r="T18" s="3">
        <f>IF(T9&lt;&gt;"",Ustede!$F$20,"")</f>
        <v>22109.914952787065</v>
      </c>
      <c r="U18" s="3">
        <f>IF(U9&lt;&gt;"",Ustede!$F$20,"")</f>
        <v>22109.914952787065</v>
      </c>
      <c r="V18" s="3">
        <f>IF(V9&lt;&gt;"",Ustede!$F$20,"")</f>
        <v>22109.914952787065</v>
      </c>
      <c r="W18" s="3">
        <f>IF(W9&lt;&gt;"",Ustede!$F$20,"")</f>
        <v>22109.914952787065</v>
      </c>
      <c r="X18" s="3">
        <f>IF(X9&lt;&gt;"",Ustede!$F$20,"")</f>
        <v>22109.914952787065</v>
      </c>
      <c r="Y18" s="3">
        <f>IF(Y9&lt;&gt;"",Ustede!$F$20,"")</f>
        <v>22109.914952787065</v>
      </c>
    </row>
    <row r="19" spans="1:25" x14ac:dyDescent="0.25">
      <c r="A19" s="72" t="s">
        <v>116</v>
      </c>
      <c r="B19" s="72"/>
      <c r="C19" s="72"/>
      <c r="D19" s="72"/>
      <c r="E19" s="38"/>
      <c r="F19" s="39">
        <f>IF(F9&lt;&gt;"",F18,"")</f>
        <v>22109.914952787065</v>
      </c>
      <c r="G19" s="39">
        <f t="shared" ref="G19:Y19" si="0">IF(G9&lt;&gt;"",G18,"")</f>
        <v>22109.914952787065</v>
      </c>
      <c r="H19" s="39">
        <f t="shared" si="0"/>
        <v>22109.914952787065</v>
      </c>
      <c r="I19" s="39">
        <f t="shared" si="0"/>
        <v>22109.914952787065</v>
      </c>
      <c r="J19" s="39">
        <f t="shared" si="0"/>
        <v>22109.914952787065</v>
      </c>
      <c r="K19" s="39">
        <f t="shared" si="0"/>
        <v>22109.914952787065</v>
      </c>
      <c r="L19" s="39">
        <f t="shared" si="0"/>
        <v>22109.914952787065</v>
      </c>
      <c r="M19" s="39">
        <f t="shared" si="0"/>
        <v>22109.914952787065</v>
      </c>
      <c r="N19" s="39">
        <f t="shared" si="0"/>
        <v>22109.914952787065</v>
      </c>
      <c r="O19" s="39">
        <f t="shared" si="0"/>
        <v>22109.914952787065</v>
      </c>
      <c r="P19" s="39">
        <f t="shared" si="0"/>
        <v>22109.914952787065</v>
      </c>
      <c r="Q19" s="39">
        <f t="shared" si="0"/>
        <v>22109.914952787065</v>
      </c>
      <c r="R19" s="39">
        <f t="shared" si="0"/>
        <v>22109.914952787065</v>
      </c>
      <c r="S19" s="39">
        <f t="shared" si="0"/>
        <v>22109.914952787065</v>
      </c>
      <c r="T19" s="39">
        <f t="shared" si="0"/>
        <v>22109.914952787065</v>
      </c>
      <c r="U19" s="39">
        <f t="shared" si="0"/>
        <v>22109.914952787065</v>
      </c>
      <c r="V19" s="39">
        <f t="shared" si="0"/>
        <v>22109.914952787065</v>
      </c>
      <c r="W19" s="39">
        <f t="shared" si="0"/>
        <v>22109.914952787065</v>
      </c>
      <c r="X19" s="39">
        <f t="shared" si="0"/>
        <v>22109.914952787065</v>
      </c>
      <c r="Y19" s="39">
        <f t="shared" si="0"/>
        <v>22109.914952787065</v>
      </c>
    </row>
    <row r="20" spans="1:25" x14ac:dyDescent="0.25">
      <c r="A20" s="67"/>
      <c r="B20" s="67"/>
      <c r="C20" s="67"/>
      <c r="D20" s="67"/>
    </row>
    <row r="21" spans="1:25" x14ac:dyDescent="0.25">
      <c r="A21" s="59" t="s">
        <v>162</v>
      </c>
      <c r="B21" s="59"/>
      <c r="C21" s="59"/>
      <c r="D21" s="59"/>
    </row>
    <row r="22" spans="1:25" x14ac:dyDescent="0.25">
      <c r="A22" s="63" t="s">
        <v>117</v>
      </c>
      <c r="B22" s="63"/>
      <c r="C22" s="63"/>
      <c r="D22" s="63"/>
      <c r="F22" s="3">
        <f>IF(F9&gt;UnosPodataka!$M$21,"",-VLOOKUP(F9,Anuiteti!$B$13:$E$32,3,FALSE))</f>
        <v>-10680</v>
      </c>
      <c r="G22" s="3">
        <f>IF(G9&gt;UnosPodataka!$M$21,"",-VLOOKUP(G9,Anuiteti!$B$13:$E$32,3,FALSE))</f>
        <v>-9811.6856540979097</v>
      </c>
      <c r="H22" s="3">
        <f>IF(H9&gt;UnosPodataka!$M$21,"",-VLOOKUP(H9,Anuiteti!$B$13:$E$32,3,FALSE))</f>
        <v>-8839.1735866875679</v>
      </c>
      <c r="I22" s="3">
        <f>IF(I9&gt;UnosPodataka!$M$21,"",-VLOOKUP(I9,Anuiteti!$B$13:$E$32,3,FALSE))</f>
        <v>-7749.9600711879857</v>
      </c>
      <c r="J22" s="3">
        <f>IF(J9&gt;UnosPodataka!$M$21,"",-VLOOKUP(J9,Anuiteti!$B$13:$E$32,3,FALSE))</f>
        <v>-6530.0409338284535</v>
      </c>
      <c r="K22" s="3">
        <f>IF(K9&gt;UnosPodataka!$M$21,"",-VLOOKUP(K9,Anuiteti!$B$13:$E$32,3,FALSE))</f>
        <v>-5163.7314999857772</v>
      </c>
      <c r="L22" s="3">
        <f>IF(L9&gt;UnosPodataka!$M$21,"",-VLOOKUP(L9,Anuiteti!$B$13:$E$32,3,FALSE))</f>
        <v>-3633.4649340819801</v>
      </c>
      <c r="M22" s="3">
        <f>IF(M9&gt;UnosPodataka!$M$21,"",-VLOOKUP(M9,Anuiteti!$B$13:$E$32,3,FALSE))</f>
        <v>-1919.5663802697266</v>
      </c>
      <c r="N22" s="3" t="str">
        <f>IF(N9&gt;UnosPodataka!$M$21,"",-VLOOKUP(N9,Anuiteti!$B$13:$E$32,3,FALSE))</f>
        <v/>
      </c>
      <c r="O22" s="3" t="str">
        <f>IF(O9&gt;UnosPodataka!$M$21,"",-VLOOKUP(O9,Anuiteti!$B$13:$E$32,3,FALSE))</f>
        <v/>
      </c>
      <c r="P22" s="3" t="str">
        <f>IF(P9&gt;UnosPodataka!$M$21,"",-VLOOKUP(P9,Anuiteti!$B$13:$E$32,3,FALSE))</f>
        <v/>
      </c>
      <c r="Q22" s="3" t="str">
        <f>IF(Q9&gt;UnosPodataka!$M$21,"",-VLOOKUP(Q9,Anuiteti!$B$13:$E$32,3,FALSE))</f>
        <v/>
      </c>
      <c r="R22" s="3" t="str">
        <f>IF(R9&gt;UnosPodataka!$M$21,"",-VLOOKUP(R9,Anuiteti!$B$13:$E$32,3,FALSE))</f>
        <v/>
      </c>
      <c r="S22" s="3" t="str">
        <f>IF(S9&gt;UnosPodataka!$M$21,"",-VLOOKUP(S9,Anuiteti!$B$13:$E$32,3,FALSE))</f>
        <v/>
      </c>
      <c r="T22" s="3" t="str">
        <f>IF(T9&gt;UnosPodataka!$M$21,"",-VLOOKUP(T9,Anuiteti!$B$13:$E$32,3,FALSE))</f>
        <v/>
      </c>
      <c r="U22" s="3" t="str">
        <f>IF(U9&gt;UnosPodataka!$M$21,"",-VLOOKUP(U9,Anuiteti!$B$13:$E$32,3,FALSE))</f>
        <v/>
      </c>
      <c r="V22" s="3" t="str">
        <f>IF(V9&gt;UnosPodataka!$M$21,"",-VLOOKUP(V9,Anuiteti!$B$13:$E$32,3,FALSE))</f>
        <v/>
      </c>
      <c r="W22" s="3" t="str">
        <f>IF(W9&gt;UnosPodataka!$M$21,"",-VLOOKUP(W9,Anuiteti!$B$13:$E$32,3,FALSE))</f>
        <v/>
      </c>
      <c r="X22" s="3" t="str">
        <f>IF(X9&gt;UnosPodataka!$M$21,"",-VLOOKUP(X9,Anuiteti!$B$13:$E$32,3,FALSE))</f>
        <v/>
      </c>
      <c r="Y22" s="3" t="str">
        <f>IF(Y9&gt;UnosPodataka!$M$21,"",-VLOOKUP(Y9,Anuiteti!$B$13:$E$32,3,FALSE))</f>
        <v/>
      </c>
    </row>
    <row r="23" spans="1:25" x14ac:dyDescent="0.25">
      <c r="A23" s="23" t="s">
        <v>163</v>
      </c>
      <c r="B23" s="23"/>
      <c r="C23" s="23"/>
      <c r="D23" s="23"/>
      <c r="F23" s="3">
        <f>IF(F22="",0,IF(F9&gt;UnosPodataka!$M$24,"",VLOOKUP(F9,Anuiteti!$B$13:$E$32,4,FALSE)+VLOOKUP(F9,Anuiteti!$B$13:$E$32,3,FALSE)))</f>
        <v>-7235.9528825174239</v>
      </c>
      <c r="G23" s="3">
        <f>IF(G22="",0,IF(G9&gt;UnosPodataka!$M$24,"",VLOOKUP(G9,Anuiteti!$B$13:$E$32,4,FALSE)+VLOOKUP(G9,Anuiteti!$B$13:$E$32,3,FALSE)))</f>
        <v>-8104.2672284195141</v>
      </c>
      <c r="H23" s="3">
        <f>IF(H22="",0,IF(H9&gt;UnosPodataka!$M$24,"",VLOOKUP(H9,Anuiteti!$B$13:$E$32,4,FALSE)+VLOOKUP(H9,Anuiteti!$B$13:$E$32,3,FALSE)))</f>
        <v>-9076.779295829856</v>
      </c>
      <c r="I23" s="3">
        <f>IF(I22="",0,IF(I9&gt;UnosPodataka!$M$24,"",VLOOKUP(I9,Anuiteti!$B$13:$E$32,4,FALSE)+VLOOKUP(I9,Anuiteti!$B$13:$E$32,3,FALSE)))</f>
        <v>-10165.992811329437</v>
      </c>
      <c r="J23" s="3">
        <f>IF(J22="",0,IF(J9&gt;UnosPodataka!$M$24,"",VLOOKUP(J9,Anuiteti!$B$13:$E$32,4,FALSE)+VLOOKUP(J9,Anuiteti!$B$13:$E$32,3,FALSE)))</f>
        <v>-11385.91194868897</v>
      </c>
      <c r="K23" s="3">
        <f>IF(K22="",0,IF(K9&gt;UnosPodataka!$M$24,"",VLOOKUP(K9,Anuiteti!$B$13:$E$32,4,FALSE)+VLOOKUP(K9,Anuiteti!$B$13:$E$32,3,FALSE)))</f>
        <v>-12752.221382531647</v>
      </c>
      <c r="L23" s="3">
        <f>IF(L22="",0,IF(L9&gt;UnosPodataka!$M$24,"",VLOOKUP(L9,Anuiteti!$B$13:$E$32,4,FALSE)+VLOOKUP(L9,Anuiteti!$B$13:$E$32,3,FALSE)))</f>
        <v>-14282.487948435444</v>
      </c>
      <c r="M23" s="3">
        <f>IF(M22="",0,IF(M9&gt;UnosPodataka!$M$24,"",VLOOKUP(M9,Anuiteti!$B$13:$E$32,4,FALSE)+VLOOKUP(M9,Anuiteti!$B$13:$E$32,3,FALSE)))</f>
        <v>-15996.386502247697</v>
      </c>
      <c r="N23" s="3">
        <f>IF(N22="",0,IF(N9&gt;UnosPodataka!$M$24,"",VLOOKUP(N9,Anuiteti!$B$13:$E$32,4,FALSE)+VLOOKUP(N9,Anuiteti!$B$13:$E$32,3,FALSE)))</f>
        <v>0</v>
      </c>
      <c r="O23" s="3">
        <f>IF(O22="",0,IF(O9&gt;UnosPodataka!$M$24,"",VLOOKUP(O9,Anuiteti!$B$13:$E$32,4,FALSE)+VLOOKUP(O9,Anuiteti!$B$13:$E$32,3,FALSE)))</f>
        <v>0</v>
      </c>
      <c r="P23" s="3">
        <f>IF(P22="",0,IF(P9&gt;UnosPodataka!$M$24,"",VLOOKUP(P9,Anuiteti!$B$13:$E$32,4,FALSE)+VLOOKUP(P9,Anuiteti!$B$13:$E$32,3,FALSE)))</f>
        <v>0</v>
      </c>
      <c r="Q23" s="3">
        <f>IF(Q22="",0,IF(Q9&gt;UnosPodataka!$M$24,"",VLOOKUP(Q9,Anuiteti!$B$13:$E$32,4,FALSE)+VLOOKUP(Q9,Anuiteti!$B$13:$E$32,3,FALSE)))</f>
        <v>0</v>
      </c>
      <c r="R23" s="3">
        <f>IF(R22="",0,IF(R9&gt;UnosPodataka!$M$24,"",VLOOKUP(R9,Anuiteti!$B$13:$E$32,4,FALSE)+VLOOKUP(R9,Anuiteti!$B$13:$E$32,3,FALSE)))</f>
        <v>0</v>
      </c>
      <c r="S23" s="3">
        <f>IF(S22="",0,IF(S9&gt;UnosPodataka!$M$24,"",VLOOKUP(S9,Anuiteti!$B$13:$E$32,4,FALSE)+VLOOKUP(S9,Anuiteti!$B$13:$E$32,3,FALSE)))</f>
        <v>0</v>
      </c>
      <c r="T23" s="3">
        <f>IF(T22="",0,IF(T9&gt;UnosPodataka!$M$24,"",VLOOKUP(T9,Anuiteti!$B$13:$E$32,4,FALSE)+VLOOKUP(T9,Anuiteti!$B$13:$E$32,3,FALSE)))</f>
        <v>0</v>
      </c>
      <c r="U23" s="3">
        <f>IF(U22="",0,IF(U9&gt;UnosPodataka!$M$24,"",VLOOKUP(U9,Anuiteti!$B$13:$E$32,4,FALSE)+VLOOKUP(U9,Anuiteti!$B$13:$E$32,3,FALSE)))</f>
        <v>0</v>
      </c>
      <c r="V23" s="3">
        <f>IF(V22="",0,IF(V9&gt;UnosPodataka!$M$24,"",VLOOKUP(V9,Anuiteti!$B$13:$E$32,4,FALSE)+VLOOKUP(V9,Anuiteti!$B$13:$E$32,3,FALSE)))</f>
        <v>0</v>
      </c>
      <c r="W23" s="3">
        <f>IF(W22="",0,IF(W9&gt;UnosPodataka!$M$24,"",VLOOKUP(W9,Anuiteti!$B$13:$E$32,4,FALSE)+VLOOKUP(W9,Anuiteti!$B$13:$E$32,3,FALSE)))</f>
        <v>0</v>
      </c>
      <c r="X23" s="3">
        <f>IF(X22="",0,IF(X9&gt;UnosPodataka!$M$24,"",VLOOKUP(X9,Anuiteti!$B$13:$E$32,4,FALSE)+VLOOKUP(X9,Anuiteti!$B$13:$E$32,3,FALSE)))</f>
        <v>0</v>
      </c>
      <c r="Y23" s="3">
        <f>IF(Y22="",0,IF(Y9&gt;UnosPodataka!$M$24,"",VLOOKUP(Y9,Anuiteti!$B$13:$E$32,4,FALSE)+VLOOKUP(Y9,Anuiteti!$B$13:$E$32,3,FALSE)))</f>
        <v>0</v>
      </c>
    </row>
    <row r="24" spans="1:25" x14ac:dyDescent="0.25">
      <c r="A24" s="63" t="s">
        <v>118</v>
      </c>
      <c r="B24" s="63"/>
      <c r="C24" s="63"/>
      <c r="D24" s="63"/>
      <c r="F24" s="3">
        <f>IF(F9&lt;&gt;"",-UnosPodataka!$M$9,"")</f>
        <v>0</v>
      </c>
      <c r="G24" s="3">
        <f>IF(G9&lt;&gt;"",-UnosPodataka!$M$9,"")</f>
        <v>0</v>
      </c>
      <c r="H24" s="3">
        <f>IF(H9&lt;&gt;"",-UnosPodataka!$M$9,"")</f>
        <v>0</v>
      </c>
      <c r="I24" s="3">
        <f>IF(I9&lt;&gt;"",-UnosPodataka!$M$9,"")</f>
        <v>0</v>
      </c>
      <c r="J24" s="3">
        <f>IF(J9&lt;&gt;"",-UnosPodataka!$M$9,"")</f>
        <v>0</v>
      </c>
      <c r="K24" s="3">
        <f>IF(K9&lt;&gt;"",-UnosPodataka!$M$9,"")</f>
        <v>0</v>
      </c>
      <c r="L24" s="3">
        <f>IF(L9&lt;&gt;"",-UnosPodataka!$M$9,"")</f>
        <v>0</v>
      </c>
      <c r="M24" s="3">
        <f>IF(M9&lt;&gt;"",-UnosPodataka!$M$9,"")</f>
        <v>0</v>
      </c>
      <c r="N24" s="3">
        <f>IF(N9&lt;&gt;"",-UnosPodataka!$M$9,"")</f>
        <v>0</v>
      </c>
      <c r="O24" s="3">
        <f>IF(O9&lt;&gt;"",-UnosPodataka!$M$9,"")</f>
        <v>0</v>
      </c>
      <c r="P24" s="3">
        <f>IF(P9&lt;&gt;"",-UnosPodataka!$M$9,"")</f>
        <v>0</v>
      </c>
      <c r="Q24" s="3">
        <f>IF(Q9&lt;&gt;"",-UnosPodataka!$M$9,"")</f>
        <v>0</v>
      </c>
      <c r="R24" s="3">
        <f>IF(R9&lt;&gt;"",-UnosPodataka!$M$9,"")</f>
        <v>0</v>
      </c>
      <c r="S24" s="3">
        <f>IF(S9&lt;&gt;"",-UnosPodataka!$M$9,"")</f>
        <v>0</v>
      </c>
      <c r="T24" s="3">
        <f>IF(T9&lt;&gt;"",-UnosPodataka!$M$9,"")</f>
        <v>0</v>
      </c>
      <c r="U24" s="3">
        <f>IF(U9&lt;&gt;"",-UnosPodataka!$M$9,"")</f>
        <v>0</v>
      </c>
      <c r="V24" s="3">
        <f>IF(V9&lt;&gt;"",-UnosPodataka!$M$9,"")</f>
        <v>0</v>
      </c>
      <c r="W24" s="3">
        <f>IF(W9&lt;&gt;"",-UnosPodataka!$M$9,"")</f>
        <v>0</v>
      </c>
      <c r="X24" s="3">
        <f>IF(X9&lt;&gt;"",-UnosPodataka!$M$9,"")</f>
        <v>0</v>
      </c>
      <c r="Y24" s="3">
        <f>IF(Y9&lt;&gt;"",-UnosPodataka!$M$9,"")</f>
        <v>0</v>
      </c>
    </row>
    <row r="25" spans="1:25" x14ac:dyDescent="0.25">
      <c r="A25" s="63" t="s">
        <v>119</v>
      </c>
      <c r="B25" s="63"/>
      <c r="C25" s="63"/>
      <c r="D25" s="63"/>
      <c r="F25" s="3">
        <f>IF(F9&lt;&gt;"",-Investment*UnosPodataka!$M$11,"")</f>
        <v>-4320</v>
      </c>
      <c r="G25" s="3">
        <f>IF(G9&lt;&gt;"",-Investment*UnosPodataka!$M$11,"")</f>
        <v>-4320</v>
      </c>
      <c r="H25" s="3">
        <f>IF(H9&lt;&gt;"",-Investment*UnosPodataka!$M$11,"")</f>
        <v>-4320</v>
      </c>
      <c r="I25" s="3">
        <f>IF(I9&lt;&gt;"",-Investment*UnosPodataka!$M$11,"")</f>
        <v>-4320</v>
      </c>
      <c r="J25" s="3">
        <f>IF(J9&lt;&gt;"",-Investment*UnosPodataka!$M$11,"")</f>
        <v>-4320</v>
      </c>
      <c r="K25" s="3">
        <f>IF(K9&lt;&gt;"",-Investment*UnosPodataka!$M$11,"")</f>
        <v>-4320</v>
      </c>
      <c r="L25" s="3">
        <f>IF(L9&lt;&gt;"",-Investment*UnosPodataka!$M$11,"")</f>
        <v>-4320</v>
      </c>
      <c r="M25" s="3">
        <f>IF(M9&lt;&gt;"",-Investment*UnosPodataka!$M$11,"")</f>
        <v>-4320</v>
      </c>
      <c r="N25" s="3">
        <f>IF(N9&lt;&gt;"",-Investment*UnosPodataka!$M$11,"")</f>
        <v>-4320</v>
      </c>
      <c r="O25" s="3">
        <f>IF(O9&lt;&gt;"",-Investment*UnosPodataka!$M$11,"")</f>
        <v>-4320</v>
      </c>
      <c r="P25" s="3">
        <f>IF(P9&lt;&gt;"",-Investment*UnosPodataka!$M$11,"")</f>
        <v>-4320</v>
      </c>
      <c r="Q25" s="3">
        <f>IF(Q9&lt;&gt;"",-Investment*UnosPodataka!$M$11,"")</f>
        <v>-4320</v>
      </c>
      <c r="R25" s="3">
        <f>IF(R9&lt;&gt;"",-Investment*UnosPodataka!$M$11,"")</f>
        <v>-4320</v>
      </c>
      <c r="S25" s="3">
        <f>IF(S9&lt;&gt;"",-Investment*UnosPodataka!$M$11,"")</f>
        <v>-4320</v>
      </c>
      <c r="T25" s="3">
        <f>IF(T9&lt;&gt;"",-Investment*UnosPodataka!$M$11,"")</f>
        <v>-4320</v>
      </c>
      <c r="U25" s="3">
        <f>IF(U9&lt;&gt;"",-Investment*UnosPodataka!$M$11,"")</f>
        <v>-4320</v>
      </c>
      <c r="V25" s="3">
        <f>IF(V9&lt;&gt;"",-Investment*UnosPodataka!$M$11,"")</f>
        <v>-4320</v>
      </c>
      <c r="W25" s="3">
        <f>IF(W9&lt;&gt;"",-Investment*UnosPodataka!$M$11,"")</f>
        <v>-4320</v>
      </c>
      <c r="X25" s="3">
        <f>IF(X9&lt;&gt;"",-Investment*UnosPodataka!$M$11,"")</f>
        <v>-4320</v>
      </c>
      <c r="Y25" s="3">
        <f>IF(Y9&lt;&gt;"",-Investment*UnosPodataka!$M$11,"")</f>
        <v>-4320</v>
      </c>
    </row>
    <row r="26" spans="1:25" x14ac:dyDescent="0.25">
      <c r="A26" s="63" t="s">
        <v>164</v>
      </c>
      <c r="B26" s="63"/>
      <c r="C26" s="63"/>
      <c r="D26" s="63"/>
      <c r="F26" s="3">
        <f>IF(F9&lt;&gt;"",-Investment*UnosPodataka!$M$12,"")</f>
        <v>-3600</v>
      </c>
      <c r="G26" s="3">
        <f>IF(G9&lt;&gt;"",-Investment*UnosPodataka!$M$12,"")</f>
        <v>-3600</v>
      </c>
      <c r="H26" s="3">
        <f>IF(H9&lt;&gt;"",-Investment*UnosPodataka!$M$12,"")</f>
        <v>-3600</v>
      </c>
      <c r="I26" s="3">
        <f>IF(I9&lt;&gt;"",-Investment*UnosPodataka!$M$12,"")</f>
        <v>-3600</v>
      </c>
      <c r="J26" s="3">
        <f>IF(J9&lt;&gt;"",-Investment*UnosPodataka!$M$12,"")</f>
        <v>-3600</v>
      </c>
      <c r="K26" s="3">
        <f>IF(K9&lt;&gt;"",-Investment*UnosPodataka!$M$12,"")</f>
        <v>-3600</v>
      </c>
      <c r="L26" s="3">
        <f>IF(L9&lt;&gt;"",-Investment*UnosPodataka!$M$12,"")</f>
        <v>-3600</v>
      </c>
      <c r="M26" s="3">
        <f>IF(M9&lt;&gt;"",-Investment*UnosPodataka!$M$12,"")</f>
        <v>-3600</v>
      </c>
      <c r="N26" s="3">
        <f>IF(N9&lt;&gt;"",-Investment*UnosPodataka!$M$12,"")</f>
        <v>-3600</v>
      </c>
      <c r="O26" s="3">
        <f>IF(O9&lt;&gt;"",-Investment*UnosPodataka!$M$12,"")</f>
        <v>-3600</v>
      </c>
      <c r="P26" s="3">
        <f>IF(P9&lt;&gt;"",-Investment*UnosPodataka!$M$12,"")</f>
        <v>-3600</v>
      </c>
      <c r="Q26" s="3">
        <f>IF(Q9&lt;&gt;"",-Investment*UnosPodataka!$M$12,"")</f>
        <v>-3600</v>
      </c>
      <c r="R26" s="3">
        <f>IF(R9&lt;&gt;"",-Investment*UnosPodataka!$M$12,"")</f>
        <v>-3600</v>
      </c>
      <c r="S26" s="3">
        <f>IF(S9&lt;&gt;"",-Investment*UnosPodataka!$M$12,"")</f>
        <v>-3600</v>
      </c>
      <c r="T26" s="3">
        <f>IF(T9&lt;&gt;"",-Investment*UnosPodataka!$M$12,"")</f>
        <v>-3600</v>
      </c>
      <c r="U26" s="3">
        <f>IF(U9&lt;&gt;"",-Investment*UnosPodataka!$M$12,"")</f>
        <v>-3600</v>
      </c>
      <c r="V26" s="3">
        <f>IF(V9&lt;&gt;"",-Investment*UnosPodataka!$M$12,"")</f>
        <v>-3600</v>
      </c>
      <c r="W26" s="3">
        <f>IF(W9&lt;&gt;"",-Investment*UnosPodataka!$M$12,"")</f>
        <v>-3600</v>
      </c>
      <c r="X26" s="3">
        <f>IF(X9&lt;&gt;"",-Investment*UnosPodataka!$M$12,"")</f>
        <v>-3600</v>
      </c>
      <c r="Y26" s="3">
        <f>IF(Y9&lt;&gt;"",-Investment*UnosPodataka!$M$12,"")</f>
        <v>-3600</v>
      </c>
    </row>
    <row r="27" spans="1:25" x14ac:dyDescent="0.25">
      <c r="A27" s="63" t="s">
        <v>140</v>
      </c>
      <c r="B27" s="63"/>
      <c r="C27" s="63"/>
      <c r="D27" s="63"/>
      <c r="F27" s="3">
        <f>IF(F9&lt;&gt;"",-(1-UnosPodataka!$M$10)*F18,"")</f>
        <v>0</v>
      </c>
      <c r="G27" s="3">
        <f>IF(G9&lt;&gt;"",-(1-UnosPodataka!$M$10)*G18,"")</f>
        <v>0</v>
      </c>
      <c r="H27" s="3">
        <f>IF(H9&lt;&gt;"",-(1-UnosPodataka!$M$10)*H18,"")</f>
        <v>0</v>
      </c>
      <c r="I27" s="3">
        <f>IF(I9&lt;&gt;"",-(1-UnosPodataka!$M$10)*I18,"")</f>
        <v>0</v>
      </c>
      <c r="J27" s="3">
        <f>IF(J9&lt;&gt;"",-(1-UnosPodataka!$M$10)*J18,"")</f>
        <v>0</v>
      </c>
      <c r="K27" s="3">
        <f>IF(K9&lt;&gt;"",-(1-UnosPodataka!$M$10)*K18,"")</f>
        <v>0</v>
      </c>
      <c r="L27" s="3">
        <f>IF(L9&lt;&gt;"",-(1-UnosPodataka!$M$10)*L18,"")</f>
        <v>0</v>
      </c>
      <c r="M27" s="3">
        <f>IF(M9&lt;&gt;"",-(1-UnosPodataka!$M$10)*M18,"")</f>
        <v>0</v>
      </c>
      <c r="N27" s="3">
        <f>IF(N9&lt;&gt;"",-(1-UnosPodataka!$M$10)*N18,"")</f>
        <v>0</v>
      </c>
      <c r="O27" s="3">
        <f>IF(O9&lt;&gt;"",-(1-UnosPodataka!$M$10)*O18,"")</f>
        <v>0</v>
      </c>
      <c r="P27" s="3">
        <f>IF(P9&lt;&gt;"",-(1-UnosPodataka!$M$10)*P18,"")</f>
        <v>0</v>
      </c>
      <c r="Q27" s="3">
        <f>IF(Q9&lt;&gt;"",-(1-UnosPodataka!$M$10)*Q18,"")</f>
        <v>0</v>
      </c>
      <c r="R27" s="3">
        <f>IF(R9&lt;&gt;"",-(1-UnosPodataka!$M$10)*R18,"")</f>
        <v>0</v>
      </c>
      <c r="S27" s="3">
        <f>IF(S9&lt;&gt;"",-(1-UnosPodataka!$M$10)*S18,"")</f>
        <v>0</v>
      </c>
      <c r="T27" s="3">
        <f>IF(T9&lt;&gt;"",-(1-UnosPodataka!$M$10)*T18,"")</f>
        <v>0</v>
      </c>
      <c r="U27" s="3">
        <f>IF(U9&lt;&gt;"",-(1-UnosPodataka!$M$10)*U18,"")</f>
        <v>0</v>
      </c>
      <c r="V27" s="3">
        <f>IF(V9&lt;&gt;"",-(1-UnosPodataka!$M$10)*V18,"")</f>
        <v>0</v>
      </c>
      <c r="W27" s="3">
        <f>IF(W9&lt;&gt;"",-(1-UnosPodataka!$M$10)*W18,"")</f>
        <v>0</v>
      </c>
      <c r="X27" s="3">
        <f>IF(X9&lt;&gt;"",-(1-UnosPodataka!$M$10)*X18,"")</f>
        <v>0</v>
      </c>
      <c r="Y27" s="3">
        <f>IF(Y9&lt;&gt;"",-(1-UnosPodataka!$M$10)*Y18,"")</f>
        <v>0</v>
      </c>
    </row>
    <row r="28" spans="1:25" x14ac:dyDescent="0.25">
      <c r="A28" s="72" t="s">
        <v>120</v>
      </c>
      <c r="B28" s="72"/>
      <c r="C28" s="72"/>
      <c r="D28" s="72"/>
      <c r="E28" s="38"/>
      <c r="F28" s="39">
        <f>IF(F9&lt;&gt;"",SUM(F22:F27),"")</f>
        <v>-25835.952882517424</v>
      </c>
      <c r="G28" s="39">
        <f t="shared" ref="G28:Y28" si="1">IF(G9&lt;&gt;"",SUM(G22:G27),"")</f>
        <v>-25835.952882517424</v>
      </c>
      <c r="H28" s="39">
        <f t="shared" si="1"/>
        <v>-25835.952882517424</v>
      </c>
      <c r="I28" s="39">
        <f t="shared" si="1"/>
        <v>-25835.952882517424</v>
      </c>
      <c r="J28" s="39">
        <f t="shared" si="1"/>
        <v>-25835.952882517424</v>
      </c>
      <c r="K28" s="39">
        <f t="shared" si="1"/>
        <v>-25835.952882517424</v>
      </c>
      <c r="L28" s="39">
        <f t="shared" si="1"/>
        <v>-25835.952882517424</v>
      </c>
      <c r="M28" s="39">
        <f t="shared" si="1"/>
        <v>-25835.952882517424</v>
      </c>
      <c r="N28" s="39">
        <f t="shared" si="1"/>
        <v>-7920</v>
      </c>
      <c r="O28" s="39">
        <f t="shared" si="1"/>
        <v>-7920</v>
      </c>
      <c r="P28" s="39">
        <f t="shared" si="1"/>
        <v>-7920</v>
      </c>
      <c r="Q28" s="39">
        <f t="shared" si="1"/>
        <v>-7920</v>
      </c>
      <c r="R28" s="39">
        <f t="shared" si="1"/>
        <v>-7920</v>
      </c>
      <c r="S28" s="39">
        <f t="shared" si="1"/>
        <v>-7920</v>
      </c>
      <c r="T28" s="39">
        <f t="shared" si="1"/>
        <v>-7920</v>
      </c>
      <c r="U28" s="39">
        <f t="shared" si="1"/>
        <v>-7920</v>
      </c>
      <c r="V28" s="39">
        <f t="shared" si="1"/>
        <v>-7920</v>
      </c>
      <c r="W28" s="39">
        <f t="shared" si="1"/>
        <v>-7920</v>
      </c>
      <c r="X28" s="39">
        <f t="shared" si="1"/>
        <v>-7920</v>
      </c>
      <c r="Y28" s="39">
        <f t="shared" si="1"/>
        <v>-7920</v>
      </c>
    </row>
    <row r="30" spans="1:25" x14ac:dyDescent="0.25">
      <c r="A30" t="s">
        <v>165</v>
      </c>
      <c r="E30" s="3">
        <f>-SUM(E11:E13)</f>
        <v>-144000</v>
      </c>
      <c r="F30" s="3">
        <f>+F28-F26-F33</f>
        <v>-22762.440125435485</v>
      </c>
      <c r="G30" s="3">
        <f t="shared" ref="G30:Y30" si="2">+G28-G26-G33</f>
        <v>-22892.687277320798</v>
      </c>
      <c r="H30" s="3">
        <f t="shared" si="2"/>
        <v>-23038.564087432347</v>
      </c>
      <c r="I30" s="3">
        <f t="shared" si="2"/>
        <v>-23201.946114757287</v>
      </c>
      <c r="J30" s="3">
        <f t="shared" si="2"/>
        <v>-23384.933985361215</v>
      </c>
      <c r="K30" s="3">
        <f t="shared" si="2"/>
        <v>-23589.880400437618</v>
      </c>
      <c r="L30" s="3">
        <f t="shared" si="2"/>
        <v>-23819.420385323188</v>
      </c>
      <c r="M30" s="3">
        <f t="shared" si="2"/>
        <v>-24076.505168395026</v>
      </c>
      <c r="N30" s="3">
        <f t="shared" si="2"/>
        <v>-6448.4872429180596</v>
      </c>
      <c r="O30" s="3">
        <f t="shared" si="2"/>
        <v>-6448.4872429180596</v>
      </c>
      <c r="P30" s="3">
        <f t="shared" si="2"/>
        <v>-6448.4872429180596</v>
      </c>
      <c r="Q30" s="3">
        <f t="shared" si="2"/>
        <v>-6448.4872429180596</v>
      </c>
      <c r="R30" s="3">
        <f t="shared" si="2"/>
        <v>-6448.4872429180596</v>
      </c>
      <c r="S30" s="3">
        <f t="shared" si="2"/>
        <v>-6448.4872429180596</v>
      </c>
      <c r="T30" s="3">
        <f t="shared" si="2"/>
        <v>-6448.4872429180596</v>
      </c>
      <c r="U30" s="3">
        <f t="shared" si="2"/>
        <v>-6448.4872429180596</v>
      </c>
      <c r="V30" s="3">
        <f t="shared" si="2"/>
        <v>-6448.4872429180596</v>
      </c>
      <c r="W30" s="3">
        <f t="shared" si="2"/>
        <v>-6448.4872429180596</v>
      </c>
      <c r="X30" s="3">
        <f t="shared" si="2"/>
        <v>-6448.4872429180596</v>
      </c>
      <c r="Y30" s="3">
        <f t="shared" si="2"/>
        <v>-6448.4872429180596</v>
      </c>
    </row>
    <row r="31" spans="1:25" x14ac:dyDescent="0.25">
      <c r="A31" s="59" t="s">
        <v>166</v>
      </c>
      <c r="B31" s="59"/>
      <c r="C31" s="59"/>
      <c r="D31" s="59"/>
      <c r="F31" s="3">
        <f>IF(F9&lt;&gt;"",F19+F28-F23,"")</f>
        <v>3509.914952787065</v>
      </c>
      <c r="G31" s="3">
        <f t="shared" ref="G31:Y31" si="3">IF(G9&lt;&gt;"",G19+G28-G23,"")</f>
        <v>4378.2292986891553</v>
      </c>
      <c r="H31" s="3">
        <f t="shared" si="3"/>
        <v>5350.7413660994971</v>
      </c>
      <c r="I31" s="3">
        <f t="shared" si="3"/>
        <v>6439.9548815990784</v>
      </c>
      <c r="J31" s="3">
        <f t="shared" si="3"/>
        <v>7659.8740189586115</v>
      </c>
      <c r="K31" s="3">
        <f t="shared" si="3"/>
        <v>9026.1834528012878</v>
      </c>
      <c r="L31" s="3">
        <f t="shared" si="3"/>
        <v>10556.450018705085</v>
      </c>
      <c r="M31" s="3">
        <f t="shared" si="3"/>
        <v>12270.348572517338</v>
      </c>
      <c r="N31" s="3">
        <f t="shared" si="3"/>
        <v>14189.914952787065</v>
      </c>
      <c r="O31" s="3">
        <f t="shared" si="3"/>
        <v>14189.914952787065</v>
      </c>
      <c r="P31" s="3">
        <f t="shared" si="3"/>
        <v>14189.914952787065</v>
      </c>
      <c r="Q31" s="3">
        <f t="shared" si="3"/>
        <v>14189.914952787065</v>
      </c>
      <c r="R31" s="3">
        <f t="shared" si="3"/>
        <v>14189.914952787065</v>
      </c>
      <c r="S31" s="3">
        <f t="shared" si="3"/>
        <v>14189.914952787065</v>
      </c>
      <c r="T31" s="3">
        <f t="shared" si="3"/>
        <v>14189.914952787065</v>
      </c>
      <c r="U31" s="3">
        <f t="shared" si="3"/>
        <v>14189.914952787065</v>
      </c>
      <c r="V31" s="3">
        <f t="shared" si="3"/>
        <v>14189.914952787065</v>
      </c>
      <c r="W31" s="3">
        <f t="shared" si="3"/>
        <v>14189.914952787065</v>
      </c>
      <c r="X31" s="3">
        <f t="shared" si="3"/>
        <v>14189.914952787065</v>
      </c>
      <c r="Y31" s="3">
        <f t="shared" si="3"/>
        <v>14189.914952787065</v>
      </c>
    </row>
    <row r="32" spans="1:25" x14ac:dyDescent="0.25">
      <c r="A32" s="73"/>
      <c r="B32" s="73"/>
      <c r="C32" s="73"/>
      <c r="D32" s="73"/>
    </row>
    <row r="33" spans="1:25" x14ac:dyDescent="0.25">
      <c r="A33" s="63" t="s">
        <v>121</v>
      </c>
      <c r="B33" s="63"/>
      <c r="C33" s="63"/>
      <c r="D33" s="63"/>
      <c r="F33" s="3">
        <f>IF(F9&lt;&gt;"",IF(F31&gt;0,F31*VAT,0),"")</f>
        <v>526.48724291805968</v>
      </c>
      <c r="G33" s="3">
        <f t="shared" ref="G33:Y33" si="4">IF(G9&lt;&gt;"",IF(G31&gt;0,G31*VAT,0),"")</f>
        <v>656.73439480337322</v>
      </c>
      <c r="H33" s="3">
        <f t="shared" si="4"/>
        <v>802.61120491492454</v>
      </c>
      <c r="I33" s="3">
        <f t="shared" si="4"/>
        <v>965.99323223986175</v>
      </c>
      <c r="J33" s="3">
        <f t="shared" si="4"/>
        <v>1148.9811028437916</v>
      </c>
      <c r="K33" s="3">
        <f t="shared" si="4"/>
        <v>1353.9275179201932</v>
      </c>
      <c r="L33" s="3">
        <f t="shared" si="4"/>
        <v>1583.4675028057627</v>
      </c>
      <c r="M33" s="3">
        <f t="shared" si="4"/>
        <v>1840.5522858776005</v>
      </c>
      <c r="N33" s="3">
        <f t="shared" si="4"/>
        <v>2128.4872429180596</v>
      </c>
      <c r="O33" s="3">
        <f t="shared" si="4"/>
        <v>2128.4872429180596</v>
      </c>
      <c r="P33" s="3">
        <f t="shared" si="4"/>
        <v>2128.4872429180596</v>
      </c>
      <c r="Q33" s="3">
        <f t="shared" si="4"/>
        <v>2128.4872429180596</v>
      </c>
      <c r="R33" s="3">
        <f t="shared" si="4"/>
        <v>2128.4872429180596</v>
      </c>
      <c r="S33" s="3">
        <f t="shared" si="4"/>
        <v>2128.4872429180596</v>
      </c>
      <c r="T33" s="3">
        <f t="shared" si="4"/>
        <v>2128.4872429180596</v>
      </c>
      <c r="U33" s="3">
        <f t="shared" si="4"/>
        <v>2128.4872429180596</v>
      </c>
      <c r="V33" s="3">
        <f t="shared" si="4"/>
        <v>2128.4872429180596</v>
      </c>
      <c r="W33" s="3">
        <f t="shared" si="4"/>
        <v>2128.4872429180596</v>
      </c>
      <c r="X33" s="3">
        <f t="shared" si="4"/>
        <v>2128.4872429180596</v>
      </c>
      <c r="Y33" s="3">
        <f t="shared" si="4"/>
        <v>2128.4872429180596</v>
      </c>
    </row>
    <row r="34" spans="1:25" x14ac:dyDescent="0.25">
      <c r="A34" s="59" t="s">
        <v>122</v>
      </c>
      <c r="B34" s="59"/>
      <c r="C34" s="59"/>
      <c r="D34" s="59"/>
      <c r="E34" s="3"/>
      <c r="F34" s="3">
        <f>IF(F9&lt;&gt;"",F31-F33,"")</f>
        <v>2983.4277098690054</v>
      </c>
      <c r="G34" s="3">
        <f t="shared" ref="G34:Y34" si="5">IF(G9&lt;&gt;"",G31-G33,"")</f>
        <v>3721.4949038857822</v>
      </c>
      <c r="H34" s="3">
        <f t="shared" si="5"/>
        <v>4548.1301611845729</v>
      </c>
      <c r="I34" s="3">
        <f t="shared" si="5"/>
        <v>5473.9616493592166</v>
      </c>
      <c r="J34" s="3">
        <f t="shared" si="5"/>
        <v>6510.8929161148199</v>
      </c>
      <c r="K34" s="3">
        <f t="shared" si="5"/>
        <v>7672.2559348810946</v>
      </c>
      <c r="L34" s="3">
        <f t="shared" si="5"/>
        <v>8972.9825158993226</v>
      </c>
      <c r="M34" s="3">
        <f t="shared" si="5"/>
        <v>10429.796286639737</v>
      </c>
      <c r="N34" s="3">
        <f t="shared" si="5"/>
        <v>12061.427709869005</v>
      </c>
      <c r="O34" s="3">
        <f t="shared" si="5"/>
        <v>12061.427709869005</v>
      </c>
      <c r="P34" s="3">
        <f t="shared" si="5"/>
        <v>12061.427709869005</v>
      </c>
      <c r="Q34" s="3">
        <f t="shared" si="5"/>
        <v>12061.427709869005</v>
      </c>
      <c r="R34" s="3">
        <f t="shared" si="5"/>
        <v>12061.427709869005</v>
      </c>
      <c r="S34" s="3">
        <f t="shared" si="5"/>
        <v>12061.427709869005</v>
      </c>
      <c r="T34" s="3">
        <f t="shared" si="5"/>
        <v>12061.427709869005</v>
      </c>
      <c r="U34" s="3">
        <f t="shared" si="5"/>
        <v>12061.427709869005</v>
      </c>
      <c r="V34" s="3">
        <f t="shared" si="5"/>
        <v>12061.427709869005</v>
      </c>
      <c r="W34" s="3">
        <f t="shared" si="5"/>
        <v>12061.427709869005</v>
      </c>
      <c r="X34" s="3">
        <f t="shared" si="5"/>
        <v>12061.427709869005</v>
      </c>
      <c r="Y34" s="3">
        <f t="shared" si="5"/>
        <v>12061.427709869005</v>
      </c>
    </row>
    <row r="36" spans="1:25" x14ac:dyDescent="0.25">
      <c r="A36" s="42" t="s">
        <v>175</v>
      </c>
      <c r="E36" s="3">
        <f>-SUM(E11:E13)</f>
        <v>-144000</v>
      </c>
      <c r="F36" s="3">
        <f>+F34+F23-F26</f>
        <v>-652.52517264841845</v>
      </c>
      <c r="G36" s="3">
        <f t="shared" ref="G36:Y36" si="6">+G34+G23-G26</f>
        <v>-782.77232453373199</v>
      </c>
      <c r="H36" s="3">
        <f t="shared" si="6"/>
        <v>-928.64913464528308</v>
      </c>
      <c r="I36" s="3">
        <f t="shared" si="6"/>
        <v>-1092.0311619702206</v>
      </c>
      <c r="J36" s="3">
        <f t="shared" si="6"/>
        <v>-1275.0190325741505</v>
      </c>
      <c r="K36" s="3">
        <f t="shared" si="6"/>
        <v>-1479.9654476505521</v>
      </c>
      <c r="L36" s="3">
        <f t="shared" si="6"/>
        <v>-1709.5054325361216</v>
      </c>
      <c r="M36" s="3">
        <f t="shared" si="6"/>
        <v>-1966.5902156079592</v>
      </c>
      <c r="N36" s="3">
        <f t="shared" si="6"/>
        <v>15661.427709869005</v>
      </c>
      <c r="O36" s="3">
        <f t="shared" si="6"/>
        <v>15661.427709869005</v>
      </c>
      <c r="P36" s="3">
        <f t="shared" si="6"/>
        <v>15661.427709869005</v>
      </c>
      <c r="Q36" s="3">
        <f t="shared" si="6"/>
        <v>15661.427709869005</v>
      </c>
      <c r="R36" s="3">
        <f t="shared" si="6"/>
        <v>15661.427709869005</v>
      </c>
      <c r="S36" s="3">
        <f t="shared" si="6"/>
        <v>15661.427709869005</v>
      </c>
      <c r="T36" s="3">
        <f t="shared" si="6"/>
        <v>15661.427709869005</v>
      </c>
      <c r="U36" s="3">
        <f t="shared" si="6"/>
        <v>15661.427709869005</v>
      </c>
      <c r="V36" s="3">
        <f t="shared" si="6"/>
        <v>15661.427709869005</v>
      </c>
      <c r="W36" s="3">
        <f t="shared" si="6"/>
        <v>15661.427709869005</v>
      </c>
      <c r="X36" s="3">
        <f t="shared" si="6"/>
        <v>15661.427709869005</v>
      </c>
      <c r="Y36" s="3">
        <f t="shared" si="6"/>
        <v>15661.427709869005</v>
      </c>
    </row>
    <row r="37" spans="1:25" x14ac:dyDescent="0.25">
      <c r="A37" s="42" t="s">
        <v>176</v>
      </c>
      <c r="E37" s="3">
        <f>+E36</f>
        <v>-144000</v>
      </c>
      <c r="F37" s="3">
        <f>+E37+F36</f>
        <v>-144652.52517264843</v>
      </c>
      <c r="G37" s="3">
        <f t="shared" ref="G37:Y37" si="7">+F37+G36</f>
        <v>-145435.29749718215</v>
      </c>
      <c r="H37" s="3">
        <f t="shared" si="7"/>
        <v>-146363.94663182745</v>
      </c>
      <c r="I37" s="3">
        <f t="shared" si="7"/>
        <v>-147455.97779379768</v>
      </c>
      <c r="J37" s="3">
        <f t="shared" si="7"/>
        <v>-148730.99682637182</v>
      </c>
      <c r="K37" s="3">
        <f t="shared" si="7"/>
        <v>-150210.96227402237</v>
      </c>
      <c r="L37" s="3">
        <f t="shared" si="7"/>
        <v>-151920.4677065585</v>
      </c>
      <c r="M37" s="3">
        <f t="shared" si="7"/>
        <v>-153887.05792216645</v>
      </c>
      <c r="N37" s="3">
        <f t="shared" si="7"/>
        <v>-138225.63021229746</v>
      </c>
      <c r="O37" s="3">
        <f t="shared" si="7"/>
        <v>-122564.20250242845</v>
      </c>
      <c r="P37" s="3">
        <f t="shared" si="7"/>
        <v>-106902.77479255944</v>
      </c>
      <c r="Q37" s="3">
        <f t="shared" si="7"/>
        <v>-91241.347082690438</v>
      </c>
      <c r="R37" s="3">
        <f t="shared" si="7"/>
        <v>-75579.91937282143</v>
      </c>
      <c r="S37" s="3">
        <f t="shared" si="7"/>
        <v>-59918.491662952423</v>
      </c>
      <c r="T37" s="3">
        <f t="shared" si="7"/>
        <v>-44257.063953083416</v>
      </c>
      <c r="U37" s="3">
        <f t="shared" si="7"/>
        <v>-28595.636243214409</v>
      </c>
      <c r="V37" s="3">
        <f t="shared" si="7"/>
        <v>-12934.208533345403</v>
      </c>
      <c r="W37" s="3">
        <f t="shared" si="7"/>
        <v>2727.2191765236021</v>
      </c>
      <c r="X37" s="3">
        <f t="shared" si="7"/>
        <v>18388.646886392606</v>
      </c>
      <c r="Y37" s="3">
        <f t="shared" si="7"/>
        <v>34050.074596261613</v>
      </c>
    </row>
    <row r="38" spans="1:25" x14ac:dyDescent="0.25">
      <c r="A38" s="16"/>
    </row>
    <row r="39" spans="1:25" x14ac:dyDescent="0.25">
      <c r="A39" s="42" t="s">
        <v>67</v>
      </c>
      <c r="E39" s="7">
        <f>+PomTab1!L25</f>
        <v>8.428819444444445E-2</v>
      </c>
    </row>
    <row r="40" spans="1:25" x14ac:dyDescent="0.25">
      <c r="A40" s="42" t="s">
        <v>177</v>
      </c>
      <c r="E40" s="3">
        <f>IF(E9&lt;&gt;"",E36*(1+$E$39)^-E9,"")</f>
        <v>-144000</v>
      </c>
      <c r="F40">
        <f>IF(F9&lt;&gt;"",F36*(1+$E$39)^-F9,"")</f>
        <v>-601.80049546952057</v>
      </c>
      <c r="G40">
        <f t="shared" ref="G40:Y40" si="8">IF(G9&lt;&gt;"",G36*(1+$E$39)^-G9,"")</f>
        <v>-665.80339283913838</v>
      </c>
      <c r="H40">
        <f t="shared" si="8"/>
        <v>-728.47972758987021</v>
      </c>
      <c r="I40">
        <f t="shared" si="8"/>
        <v>-790.05279602258247</v>
      </c>
      <c r="J40">
        <f t="shared" si="8"/>
        <v>-850.73249432211401</v>
      </c>
      <c r="K40">
        <f t="shared" si="8"/>
        <v>-910.71649058911635</v>
      </c>
      <c r="L40">
        <f t="shared" si="8"/>
        <v>-970.19131005638633</v>
      </c>
      <c r="M40">
        <f t="shared" si="8"/>
        <v>-1029.333340379794</v>
      </c>
      <c r="N40">
        <f t="shared" si="8"/>
        <v>7560.1217017377949</v>
      </c>
      <c r="O40">
        <f t="shared" si="8"/>
        <v>6972.4283087038193</v>
      </c>
      <c r="P40">
        <f t="shared" si="8"/>
        <v>6430.4198315801768</v>
      </c>
      <c r="Q40">
        <f t="shared" si="8"/>
        <v>5930.5449091188566</v>
      </c>
      <c r="R40">
        <f t="shared" si="8"/>
        <v>5469.5282485829175</v>
      </c>
      <c r="S40">
        <f t="shared" si="8"/>
        <v>5044.3491652930279</v>
      </c>
      <c r="T40">
        <f t="shared" si="8"/>
        <v>4652.2217904231584</v>
      </c>
      <c r="U40">
        <f t="shared" si="8"/>
        <v>4290.5768173624838</v>
      </c>
      <c r="V40">
        <f t="shared" si="8"/>
        <v>3957.0446670415345</v>
      </c>
      <c r="W40">
        <f t="shared" si="8"/>
        <v>3649.4399619180595</v>
      </c>
      <c r="X40">
        <f t="shared" si="8"/>
        <v>3365.7472068926459</v>
      </c>
      <c r="Y40">
        <f t="shared" si="8"/>
        <v>3104.1075833322616</v>
      </c>
    </row>
    <row r="41" spans="1:25" x14ac:dyDescent="0.25">
      <c r="A41" s="42" t="s">
        <v>178</v>
      </c>
      <c r="E41" s="3">
        <f>+E40</f>
        <v>-144000</v>
      </c>
      <c r="F41" s="3">
        <f>+E41+F40</f>
        <v>-144601.80049546951</v>
      </c>
      <c r="G41" s="3">
        <f t="shared" ref="G41:X41" si="9">+F41+G40</f>
        <v>-145267.60388830866</v>
      </c>
      <c r="H41" s="3">
        <f t="shared" si="9"/>
        <v>-145996.08361589853</v>
      </c>
      <c r="I41" s="3">
        <f t="shared" si="9"/>
        <v>-146786.13641192112</v>
      </c>
      <c r="J41" s="3">
        <f t="shared" si="9"/>
        <v>-147636.86890624324</v>
      </c>
      <c r="K41" s="3">
        <f t="shared" si="9"/>
        <v>-148547.58539683235</v>
      </c>
      <c r="L41" s="3">
        <f t="shared" si="9"/>
        <v>-149517.77670688875</v>
      </c>
      <c r="M41" s="3">
        <f t="shared" si="9"/>
        <v>-150547.11004726854</v>
      </c>
      <c r="N41" s="3">
        <f t="shared" si="9"/>
        <v>-142986.98834553073</v>
      </c>
      <c r="O41" s="3">
        <f t="shared" si="9"/>
        <v>-136014.56003682691</v>
      </c>
      <c r="P41" s="3">
        <f t="shared" si="9"/>
        <v>-129584.14020524673</v>
      </c>
      <c r="Q41" s="3">
        <f t="shared" si="9"/>
        <v>-123653.59529612787</v>
      </c>
      <c r="R41" s="3">
        <f t="shared" si="9"/>
        <v>-118184.06704754494</v>
      </c>
      <c r="S41" s="3">
        <f t="shared" si="9"/>
        <v>-113139.71788225192</v>
      </c>
      <c r="T41" s="3">
        <f t="shared" si="9"/>
        <v>-108487.49609182877</v>
      </c>
      <c r="U41" s="3">
        <f t="shared" si="9"/>
        <v>-104196.91927446629</v>
      </c>
      <c r="V41" s="3">
        <f t="shared" si="9"/>
        <v>-100239.87460742475</v>
      </c>
      <c r="W41" s="3">
        <f t="shared" si="9"/>
        <v>-96590.434645506684</v>
      </c>
      <c r="X41" s="3">
        <f t="shared" si="9"/>
        <v>-93224.687438614041</v>
      </c>
    </row>
    <row r="42" spans="1:25" x14ac:dyDescent="0.25">
      <c r="A42" s="42"/>
    </row>
    <row r="43" spans="1:25" x14ac:dyDescent="0.25">
      <c r="A43" s="43" t="s">
        <v>179</v>
      </c>
      <c r="B43" s="40"/>
      <c r="C43" s="40"/>
      <c r="D43" s="40"/>
      <c r="E43" s="44">
        <f>+NPV(E39,E36:Y36)</f>
        <v>-83114.969172431811</v>
      </c>
      <c r="F43" s="45"/>
    </row>
    <row r="44" spans="1:25" x14ac:dyDescent="0.25">
      <c r="A44" s="43" t="s">
        <v>180</v>
      </c>
      <c r="B44" s="40"/>
      <c r="C44" s="40"/>
      <c r="D44" s="40"/>
      <c r="E44" s="46">
        <f>+IRR(E36:Y36,10%)</f>
        <v>1.4288484963508541E-2</v>
      </c>
      <c r="F44" s="40"/>
    </row>
    <row r="45" spans="1:25" x14ac:dyDescent="0.25">
      <c r="A45" s="43" t="s">
        <v>181</v>
      </c>
      <c r="B45" s="40"/>
      <c r="C45" s="40"/>
      <c r="D45" s="40"/>
      <c r="E45" s="44" cm="1">
        <f t="array" ref="E45">+NPV(E39,F19:Y19/-NPV(E39,E30:Y30))</f>
        <v>0.7590463912169032</v>
      </c>
      <c r="F45" s="40"/>
    </row>
    <row r="46" spans="1:25" x14ac:dyDescent="0.25">
      <c r="A46" s="43" t="s">
        <v>182</v>
      </c>
      <c r="B46" s="40"/>
      <c r="C46" s="40"/>
      <c r="D46" s="40"/>
      <c r="E46" s="55" cm="1">
        <f t="array" ref="E46">+LOOKUP(INDEX(E37:Y37,MATCH(TRUE,E37:Y37&gt;0,0)),E37:Y37,E9:Y9)</f>
        <v>18</v>
      </c>
      <c r="F46" s="40" t="s">
        <v>184</v>
      </c>
    </row>
    <row r="47" spans="1:25" x14ac:dyDescent="0.25">
      <c r="A47" s="43" t="s">
        <v>183</v>
      </c>
      <c r="B47" s="40"/>
      <c r="C47" s="40"/>
      <c r="D47" s="40"/>
      <c r="E47" s="44" t="e" cm="1">
        <f t="array" ref="E47">+LOOKUP(INDEX(E41:Y41,MATCH(TRUE,E41:Y41&gt;0,0)),E41:Y41,E9:Y9)</f>
        <v>#N/A</v>
      </c>
      <c r="F47" s="40" t="s">
        <v>184</v>
      </c>
    </row>
    <row r="50" spans="1:26" x14ac:dyDescent="0.25">
      <c r="A50" s="63" t="s">
        <v>167</v>
      </c>
      <c r="B50" s="63"/>
      <c r="C50" s="63"/>
      <c r="D50" s="63"/>
      <c r="E50" s="3">
        <f>-SUM(E11:E13)</f>
        <v>-144000</v>
      </c>
      <c r="F50" s="3">
        <f t="shared" ref="F50:Y50" si="10">IF(F9&lt;&gt;"",F28,"")</f>
        <v>-25835.952882517424</v>
      </c>
      <c r="G50" s="3">
        <f t="shared" si="10"/>
        <v>-25835.952882517424</v>
      </c>
      <c r="H50" s="3">
        <f t="shared" si="10"/>
        <v>-25835.952882517424</v>
      </c>
      <c r="I50" s="3">
        <f t="shared" si="10"/>
        <v>-25835.952882517424</v>
      </c>
      <c r="J50" s="3">
        <f t="shared" si="10"/>
        <v>-25835.952882517424</v>
      </c>
      <c r="K50" s="3">
        <f t="shared" si="10"/>
        <v>-25835.952882517424</v>
      </c>
      <c r="L50" s="3">
        <f t="shared" si="10"/>
        <v>-25835.952882517424</v>
      </c>
      <c r="M50" s="3">
        <f t="shared" si="10"/>
        <v>-25835.952882517424</v>
      </c>
      <c r="N50" s="3">
        <f t="shared" si="10"/>
        <v>-7920</v>
      </c>
      <c r="O50" s="3">
        <f t="shared" si="10"/>
        <v>-7920</v>
      </c>
      <c r="P50" s="3">
        <f t="shared" si="10"/>
        <v>-7920</v>
      </c>
      <c r="Q50" s="3">
        <f t="shared" si="10"/>
        <v>-7920</v>
      </c>
      <c r="R50" s="3">
        <f t="shared" si="10"/>
        <v>-7920</v>
      </c>
      <c r="S50" s="3">
        <f t="shared" si="10"/>
        <v>-7920</v>
      </c>
      <c r="T50" s="3">
        <f t="shared" si="10"/>
        <v>-7920</v>
      </c>
      <c r="U50" s="3">
        <f t="shared" si="10"/>
        <v>-7920</v>
      </c>
      <c r="V50" s="3">
        <f t="shared" si="10"/>
        <v>-7920</v>
      </c>
      <c r="W50" s="3">
        <f t="shared" si="10"/>
        <v>-7920</v>
      </c>
      <c r="X50" s="3">
        <f t="shared" si="10"/>
        <v>-7920</v>
      </c>
      <c r="Y50" s="3">
        <f t="shared" si="10"/>
        <v>-7920</v>
      </c>
      <c r="Z50" s="3"/>
    </row>
    <row r="51" spans="1:26" x14ac:dyDescent="0.25">
      <c r="A51" s="63" t="s">
        <v>168</v>
      </c>
      <c r="B51" s="63"/>
      <c r="C51" s="63"/>
      <c r="D51" s="63"/>
      <c r="E51" s="3">
        <f>IF(E9&lt;&gt;"",E50*(1+$E$39)^-E9,"")</f>
        <v>-144000</v>
      </c>
      <c r="F51" s="3">
        <f>IF(F9&lt;&gt;"",F50*(1+$E$39)^-F9,"")</f>
        <v>-23827.570026947462</v>
      </c>
      <c r="G51" s="3">
        <f t="shared" ref="G51:Y51" si="11">IF(G9&lt;&gt;"",G50*(1+$E$39)^-G9,"")</f>
        <v>-21975.310760582397</v>
      </c>
      <c r="H51" s="3">
        <f t="shared" si="11"/>
        <v>-20267.038664791387</v>
      </c>
      <c r="I51" s="3">
        <f t="shared" si="11"/>
        <v>-18691.560757216936</v>
      </c>
      <c r="J51" s="3">
        <f t="shared" si="11"/>
        <v>-17238.554152841174</v>
      </c>
      <c r="K51" s="3">
        <f t="shared" si="11"/>
        <v>-15898.498426125236</v>
      </c>
      <c r="L51" s="3">
        <f t="shared" si="11"/>
        <v>-14662.613231043366</v>
      </c>
      <c r="M51" s="3">
        <f t="shared" si="11"/>
        <v>-13522.800770284171</v>
      </c>
      <c r="N51" s="3">
        <f t="shared" si="11"/>
        <v>-3823.1612715635456</v>
      </c>
      <c r="O51" s="3">
        <f t="shared" si="11"/>
        <v>-3525.9641220408334</v>
      </c>
      <c r="P51" s="3">
        <f t="shared" si="11"/>
        <v>-3251.8698811872864</v>
      </c>
      <c r="Q51" s="3">
        <f t="shared" si="11"/>
        <v>-2999.0826219900359</v>
      </c>
      <c r="R51" s="3">
        <f t="shared" si="11"/>
        <v>-2765.9460255644235</v>
      </c>
      <c r="S51" s="3">
        <f t="shared" si="11"/>
        <v>-2550.9325285807508</v>
      </c>
      <c r="T51" s="3">
        <f t="shared" si="11"/>
        <v>-2352.6333143263346</v>
      </c>
      <c r="U51" s="3">
        <f t="shared" si="11"/>
        <v>-2169.7490818220622</v>
      </c>
      <c r="V51" s="3">
        <f t="shared" si="11"/>
        <v>-2001.0815325106198</v>
      </c>
      <c r="W51" s="3">
        <f t="shared" si="11"/>
        <v>-1845.5255187352766</v>
      </c>
      <c r="X51" s="3">
        <f t="shared" si="11"/>
        <v>-1702.0618025642771</v>
      </c>
      <c r="Y51" s="3">
        <f t="shared" si="11"/>
        <v>-1569.7503775150483</v>
      </c>
      <c r="Z51" s="3"/>
    </row>
    <row r="52" spans="1:26" x14ac:dyDescent="0.25">
      <c r="A52" s="63" t="s">
        <v>169</v>
      </c>
      <c r="B52" s="63"/>
      <c r="C52" s="63"/>
      <c r="D52" s="63"/>
      <c r="E52" s="3">
        <f>+E51</f>
        <v>-144000</v>
      </c>
      <c r="F52" s="3">
        <f>+E52+F51</f>
        <v>-167827.57002694748</v>
      </c>
      <c r="G52" s="3">
        <f t="shared" ref="G52:Y52" si="12">+F52+G51</f>
        <v>-189802.88078752987</v>
      </c>
      <c r="H52" s="3">
        <f t="shared" si="12"/>
        <v>-210069.91945232125</v>
      </c>
      <c r="I52" s="3">
        <f t="shared" si="12"/>
        <v>-228761.48020953819</v>
      </c>
      <c r="J52" s="3">
        <f t="shared" si="12"/>
        <v>-246000.03436237937</v>
      </c>
      <c r="K52" s="3">
        <f t="shared" si="12"/>
        <v>-261898.53278850461</v>
      </c>
      <c r="L52" s="3">
        <f t="shared" si="12"/>
        <v>-276561.146019548</v>
      </c>
      <c r="M52" s="3">
        <f t="shared" si="12"/>
        <v>-290083.9467898322</v>
      </c>
      <c r="N52" s="3">
        <f t="shared" si="12"/>
        <v>-293907.10806139576</v>
      </c>
      <c r="O52" s="3">
        <f t="shared" si="12"/>
        <v>-297433.0721834366</v>
      </c>
      <c r="P52" s="3">
        <f t="shared" si="12"/>
        <v>-300684.94206462387</v>
      </c>
      <c r="Q52" s="3">
        <f t="shared" si="12"/>
        <v>-303684.02468661394</v>
      </c>
      <c r="R52" s="3">
        <f t="shared" si="12"/>
        <v>-306449.97071217839</v>
      </c>
      <c r="S52" s="3">
        <f t="shared" si="12"/>
        <v>-309000.90324075916</v>
      </c>
      <c r="T52" s="3">
        <f t="shared" si="12"/>
        <v>-311353.53655508551</v>
      </c>
      <c r="U52" s="3">
        <f t="shared" si="12"/>
        <v>-313523.28563690756</v>
      </c>
      <c r="V52" s="3">
        <f t="shared" si="12"/>
        <v>-315524.3671694182</v>
      </c>
      <c r="W52" s="3">
        <f t="shared" si="12"/>
        <v>-317369.89268815349</v>
      </c>
      <c r="X52" s="3">
        <f t="shared" si="12"/>
        <v>-319071.95449071779</v>
      </c>
      <c r="Y52" s="3">
        <f t="shared" si="12"/>
        <v>-320641.70486823283</v>
      </c>
    </row>
    <row r="53" spans="1:26" x14ac:dyDescent="0.25">
      <c r="A53" s="63" t="s">
        <v>170</v>
      </c>
      <c r="B53" s="63"/>
      <c r="C53" s="63"/>
      <c r="D53" s="63"/>
      <c r="F53" s="3">
        <f t="shared" ref="F53:Y53" si="13">IF(F9&lt;&gt;"",F19,"")</f>
        <v>22109.914952787065</v>
      </c>
      <c r="G53" s="3">
        <f t="shared" si="13"/>
        <v>22109.914952787065</v>
      </c>
      <c r="H53" s="3">
        <f t="shared" si="13"/>
        <v>22109.914952787065</v>
      </c>
      <c r="I53" s="3">
        <f t="shared" si="13"/>
        <v>22109.914952787065</v>
      </c>
      <c r="J53" s="3">
        <f t="shared" si="13"/>
        <v>22109.914952787065</v>
      </c>
      <c r="K53" s="3">
        <f t="shared" si="13"/>
        <v>22109.914952787065</v>
      </c>
      <c r="L53" s="3">
        <f t="shared" si="13"/>
        <v>22109.914952787065</v>
      </c>
      <c r="M53" s="3">
        <f t="shared" si="13"/>
        <v>22109.914952787065</v>
      </c>
      <c r="N53" s="3">
        <f t="shared" si="13"/>
        <v>22109.914952787065</v>
      </c>
      <c r="O53" s="3">
        <f t="shared" si="13"/>
        <v>22109.914952787065</v>
      </c>
      <c r="P53" s="3">
        <f t="shared" si="13"/>
        <v>22109.914952787065</v>
      </c>
      <c r="Q53" s="3">
        <f t="shared" si="13"/>
        <v>22109.914952787065</v>
      </c>
      <c r="R53" s="3">
        <f t="shared" si="13"/>
        <v>22109.914952787065</v>
      </c>
      <c r="S53" s="3">
        <f t="shared" si="13"/>
        <v>22109.914952787065</v>
      </c>
      <c r="T53" s="3">
        <f t="shared" si="13"/>
        <v>22109.914952787065</v>
      </c>
      <c r="U53" s="3">
        <f t="shared" si="13"/>
        <v>22109.914952787065</v>
      </c>
      <c r="V53" s="3">
        <f t="shared" si="13"/>
        <v>22109.914952787065</v>
      </c>
      <c r="W53" s="3">
        <f t="shared" si="13"/>
        <v>22109.914952787065</v>
      </c>
      <c r="X53" s="3">
        <f t="shared" si="13"/>
        <v>22109.914952787065</v>
      </c>
      <c r="Y53" s="3">
        <f t="shared" si="13"/>
        <v>22109.914952787065</v>
      </c>
    </row>
    <row r="54" spans="1:26" x14ac:dyDescent="0.25">
      <c r="A54" s="63" t="s">
        <v>171</v>
      </c>
      <c r="B54" s="63"/>
      <c r="C54" s="63"/>
      <c r="D54" s="63"/>
      <c r="F54" s="3">
        <f>IF(F9&lt;&gt;"",F53*(1+$E$39)^-F9,"")</f>
        <v>20391.179269562646</v>
      </c>
      <c r="G54" s="3">
        <f t="shared" ref="G54:Y54" si="14">IF(G9&lt;&gt;"",G53*(1+$E$39)^-G9,"")</f>
        <v>18806.051171672538</v>
      </c>
      <c r="H54" s="3">
        <f t="shared" si="14"/>
        <v>17344.144543885006</v>
      </c>
      <c r="I54" s="3">
        <f t="shared" si="14"/>
        <v>15995.880645709331</v>
      </c>
      <c r="J54" s="3">
        <f t="shared" si="14"/>
        <v>14752.425349337242</v>
      </c>
      <c r="K54" s="3">
        <f t="shared" si="14"/>
        <v>13605.631256453849</v>
      </c>
      <c r="L54" s="3">
        <f t="shared" si="14"/>
        <v>12547.984314654417</v>
      </c>
      <c r="M54" s="3">
        <f t="shared" si="14"/>
        <v>11572.554583685765</v>
      </c>
      <c r="N54" s="3">
        <f t="shared" si="14"/>
        <v>10672.950828921623</v>
      </c>
      <c r="O54" s="3">
        <f t="shared" si="14"/>
        <v>9843.2786445582497</v>
      </c>
      <c r="P54" s="3">
        <f t="shared" si="14"/>
        <v>9078.101832144026</v>
      </c>
      <c r="Q54" s="3">
        <f t="shared" si="14"/>
        <v>8372.4067813865313</v>
      </c>
      <c r="R54" s="3">
        <f t="shared" si="14"/>
        <v>7721.5696198521218</v>
      </c>
      <c r="S54" s="3">
        <f t="shared" si="14"/>
        <v>7121.3259163154626</v>
      </c>
      <c r="T54" s="3">
        <f t="shared" si="14"/>
        <v>6567.7427392485879</v>
      </c>
      <c r="U54" s="3">
        <f t="shared" si="14"/>
        <v>6057.1928873704055</v>
      </c>
      <c r="V54" s="3">
        <f t="shared" si="14"/>
        <v>5586.3311234094199</v>
      </c>
      <c r="W54" s="3">
        <f t="shared" si="14"/>
        <v>5152.072255357979</v>
      </c>
      <c r="X54" s="3">
        <f t="shared" si="14"/>
        <v>4751.5709216014666</v>
      </c>
      <c r="Y54" s="3">
        <f t="shared" si="14"/>
        <v>4382.2029474700894</v>
      </c>
    </row>
    <row r="55" spans="1:26" x14ac:dyDescent="0.25">
      <c r="A55" s="63" t="s">
        <v>172</v>
      </c>
      <c r="B55" s="63"/>
      <c r="C55" s="63"/>
      <c r="D55" s="63"/>
      <c r="F55" s="3">
        <f t="shared" ref="F55:Y55" si="15">IF(F9&lt;&gt;"",E55+F54,"")</f>
        <v>20391.179269562646</v>
      </c>
      <c r="G55" s="3">
        <f t="shared" si="15"/>
        <v>39197.23044123518</v>
      </c>
      <c r="H55" s="3">
        <f t="shared" si="15"/>
        <v>56541.374985120186</v>
      </c>
      <c r="I55" s="3">
        <f t="shared" si="15"/>
        <v>72537.255630829517</v>
      </c>
      <c r="J55" s="3">
        <f t="shared" si="15"/>
        <v>87289.680980166755</v>
      </c>
      <c r="K55" s="3">
        <f t="shared" si="15"/>
        <v>100895.31223662061</v>
      </c>
      <c r="L55" s="3">
        <f t="shared" si="15"/>
        <v>113443.29655127502</v>
      </c>
      <c r="M55" s="3">
        <f t="shared" si="15"/>
        <v>125015.85113496079</v>
      </c>
      <c r="N55" s="3">
        <f t="shared" si="15"/>
        <v>135688.8019638824</v>
      </c>
      <c r="O55" s="3">
        <f t="shared" si="15"/>
        <v>145532.08060844065</v>
      </c>
      <c r="P55" s="3">
        <f t="shared" si="15"/>
        <v>154610.18244058467</v>
      </c>
      <c r="Q55" s="3">
        <f t="shared" si="15"/>
        <v>162982.5892219712</v>
      </c>
      <c r="R55" s="3">
        <f t="shared" si="15"/>
        <v>170704.15884182332</v>
      </c>
      <c r="S55" s="3">
        <f t="shared" si="15"/>
        <v>177825.48475813877</v>
      </c>
      <c r="T55" s="3">
        <f t="shared" si="15"/>
        <v>184393.22749738736</v>
      </c>
      <c r="U55" s="3">
        <f t="shared" si="15"/>
        <v>190450.42038475777</v>
      </c>
      <c r="V55" s="3">
        <f t="shared" si="15"/>
        <v>196036.75150816719</v>
      </c>
      <c r="W55" s="3">
        <f t="shared" si="15"/>
        <v>201188.82376352517</v>
      </c>
      <c r="X55" s="3">
        <f t="shared" si="15"/>
        <v>205940.39468512664</v>
      </c>
      <c r="Y55" s="3">
        <f t="shared" si="15"/>
        <v>210322.59763259673</v>
      </c>
    </row>
    <row r="56" spans="1:26" x14ac:dyDescent="0.25">
      <c r="A56" s="63" t="s">
        <v>173</v>
      </c>
      <c r="B56" s="63"/>
      <c r="C56" s="63"/>
      <c r="D56" s="63"/>
      <c r="F56" s="3">
        <f t="shared" ref="F56:Y56" si="16">IF(F9&lt;&gt;"",F55+F52,"")</f>
        <v>-147436.39075738483</v>
      </c>
      <c r="G56" s="3">
        <f t="shared" si="16"/>
        <v>-150605.65034629469</v>
      </c>
      <c r="H56" s="3">
        <f t="shared" si="16"/>
        <v>-153528.54446720105</v>
      </c>
      <c r="I56" s="3">
        <f t="shared" si="16"/>
        <v>-156224.22457870867</v>
      </c>
      <c r="J56" s="3">
        <f t="shared" si="16"/>
        <v>-158710.35338221263</v>
      </c>
      <c r="K56" s="3">
        <f t="shared" si="16"/>
        <v>-161003.22055188401</v>
      </c>
      <c r="L56" s="3">
        <f t="shared" si="16"/>
        <v>-163117.84946827299</v>
      </c>
      <c r="M56" s="3">
        <f t="shared" si="16"/>
        <v>-165068.09565487143</v>
      </c>
      <c r="N56" s="3">
        <f t="shared" si="16"/>
        <v>-158218.30609751336</v>
      </c>
      <c r="O56" s="3">
        <f t="shared" si="16"/>
        <v>-151900.99157499595</v>
      </c>
      <c r="P56" s="3">
        <f t="shared" si="16"/>
        <v>-146074.7596240392</v>
      </c>
      <c r="Q56" s="3">
        <f t="shared" si="16"/>
        <v>-140701.43546464274</v>
      </c>
      <c r="R56" s="3">
        <f t="shared" si="16"/>
        <v>-135745.81187035507</v>
      </c>
      <c r="S56" s="3">
        <f t="shared" si="16"/>
        <v>-131175.41848262039</v>
      </c>
      <c r="T56" s="3">
        <f t="shared" si="16"/>
        <v>-126960.30905769815</v>
      </c>
      <c r="U56" s="3">
        <f t="shared" si="16"/>
        <v>-123072.86525214979</v>
      </c>
      <c r="V56" s="3">
        <f t="shared" si="16"/>
        <v>-119487.61566125101</v>
      </c>
      <c r="W56" s="3">
        <f t="shared" si="16"/>
        <v>-116181.06892462831</v>
      </c>
      <c r="X56" s="3">
        <f t="shared" si="16"/>
        <v>-113131.55980559115</v>
      </c>
      <c r="Y56" s="3">
        <f t="shared" si="16"/>
        <v>-110319.1072356361</v>
      </c>
    </row>
    <row r="57" spans="1:26" x14ac:dyDescent="0.25">
      <c r="A57" s="41" t="s">
        <v>174</v>
      </c>
      <c r="B57" s="41"/>
      <c r="C57" s="41"/>
      <c r="D57" s="41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</row>
    <row r="59" spans="1:26" x14ac:dyDescent="0.25">
      <c r="A59" s="63" t="s">
        <v>123</v>
      </c>
      <c r="B59" s="63"/>
      <c r="C59" s="63"/>
      <c r="D59" s="63"/>
      <c r="E59" s="3">
        <f>E11</f>
        <v>89000</v>
      </c>
      <c r="F59" s="3">
        <f t="shared" ref="F59:Y59" si="17">IF(F9="",E59,-F52)</f>
        <v>167827.57002694748</v>
      </c>
      <c r="G59" s="3">
        <f t="shared" si="17"/>
        <v>189802.88078752987</v>
      </c>
      <c r="H59" s="3">
        <f t="shared" si="17"/>
        <v>210069.91945232125</v>
      </c>
      <c r="I59" s="3">
        <f t="shared" si="17"/>
        <v>228761.48020953819</v>
      </c>
      <c r="J59" s="3">
        <f t="shared" si="17"/>
        <v>246000.03436237937</v>
      </c>
      <c r="K59" s="3">
        <f t="shared" si="17"/>
        <v>261898.53278850461</v>
      </c>
      <c r="L59" s="3">
        <f t="shared" si="17"/>
        <v>276561.146019548</v>
      </c>
      <c r="M59" s="3">
        <f t="shared" si="17"/>
        <v>290083.9467898322</v>
      </c>
      <c r="N59" s="3">
        <f t="shared" si="17"/>
        <v>293907.10806139576</v>
      </c>
      <c r="O59" s="3">
        <f t="shared" si="17"/>
        <v>297433.0721834366</v>
      </c>
      <c r="P59" s="3">
        <f t="shared" si="17"/>
        <v>300684.94206462387</v>
      </c>
      <c r="Q59" s="3">
        <f t="shared" si="17"/>
        <v>303684.02468661394</v>
      </c>
      <c r="R59" s="3">
        <f t="shared" si="17"/>
        <v>306449.97071217839</v>
      </c>
      <c r="S59" s="3">
        <f t="shared" si="17"/>
        <v>309000.90324075916</v>
      </c>
      <c r="T59" s="3">
        <f t="shared" si="17"/>
        <v>311353.53655508551</v>
      </c>
      <c r="U59" s="3">
        <f t="shared" si="17"/>
        <v>313523.28563690756</v>
      </c>
      <c r="V59" s="3">
        <f t="shared" si="17"/>
        <v>315524.3671694182</v>
      </c>
      <c r="W59" s="3">
        <f t="shared" si="17"/>
        <v>317369.89268815349</v>
      </c>
      <c r="X59" s="3">
        <f t="shared" si="17"/>
        <v>319071.95449071779</v>
      </c>
      <c r="Y59" s="3">
        <f t="shared" si="17"/>
        <v>320641.70486823283</v>
      </c>
    </row>
    <row r="60" spans="1:26" x14ac:dyDescent="0.25">
      <c r="A60" s="63" t="s">
        <v>124</v>
      </c>
      <c r="B60" s="63"/>
      <c r="C60" s="63"/>
      <c r="D60" s="63"/>
      <c r="F60" s="3">
        <f t="shared" ref="F60:Y60" si="18">IF(F9="",E60,F55)</f>
        <v>20391.179269562646</v>
      </c>
      <c r="G60" s="3">
        <f t="shared" si="18"/>
        <v>39197.23044123518</v>
      </c>
      <c r="H60" s="3">
        <f t="shared" si="18"/>
        <v>56541.374985120186</v>
      </c>
      <c r="I60" s="3">
        <f t="shared" si="18"/>
        <v>72537.255630829517</v>
      </c>
      <c r="J60" s="3">
        <f t="shared" si="18"/>
        <v>87289.680980166755</v>
      </c>
      <c r="K60" s="3">
        <f t="shared" si="18"/>
        <v>100895.31223662061</v>
      </c>
      <c r="L60" s="3">
        <f t="shared" si="18"/>
        <v>113443.29655127502</v>
      </c>
      <c r="M60" s="3">
        <f t="shared" si="18"/>
        <v>125015.85113496079</v>
      </c>
      <c r="N60" s="3">
        <f t="shared" si="18"/>
        <v>135688.8019638824</v>
      </c>
      <c r="O60" s="3">
        <f t="shared" si="18"/>
        <v>145532.08060844065</v>
      </c>
      <c r="P60" s="3">
        <f t="shared" si="18"/>
        <v>154610.18244058467</v>
      </c>
      <c r="Q60" s="3">
        <f t="shared" si="18"/>
        <v>162982.5892219712</v>
      </c>
      <c r="R60" s="3">
        <f t="shared" si="18"/>
        <v>170704.15884182332</v>
      </c>
      <c r="S60" s="3">
        <f t="shared" si="18"/>
        <v>177825.48475813877</v>
      </c>
      <c r="T60" s="3">
        <f t="shared" si="18"/>
        <v>184393.22749738736</v>
      </c>
      <c r="U60" s="3">
        <f t="shared" si="18"/>
        <v>190450.42038475777</v>
      </c>
      <c r="V60" s="3">
        <f t="shared" si="18"/>
        <v>196036.75150816719</v>
      </c>
      <c r="W60" s="3">
        <f t="shared" si="18"/>
        <v>201188.82376352517</v>
      </c>
      <c r="X60" s="3">
        <f t="shared" si="18"/>
        <v>205940.39468512664</v>
      </c>
      <c r="Y60" s="3">
        <f t="shared" si="18"/>
        <v>210322.59763259673</v>
      </c>
    </row>
  </sheetData>
  <sheetProtection selectLockedCells="1"/>
  <mergeCells count="34">
    <mergeCell ref="A53:D53"/>
    <mergeCell ref="A54:D54"/>
    <mergeCell ref="A60:D60"/>
    <mergeCell ref="A18:D18"/>
    <mergeCell ref="A20:D20"/>
    <mergeCell ref="A55:D55"/>
    <mergeCell ref="A31:D31"/>
    <mergeCell ref="A33:D33"/>
    <mergeCell ref="A34:D34"/>
    <mergeCell ref="A32:D32"/>
    <mergeCell ref="A50:D50"/>
    <mergeCell ref="A51:D51"/>
    <mergeCell ref="A52:D52"/>
    <mergeCell ref="A14:D14"/>
    <mergeCell ref="A19:D19"/>
    <mergeCell ref="A24:D24"/>
    <mergeCell ref="A22:D22"/>
    <mergeCell ref="A15:D15"/>
    <mergeCell ref="F3:I3"/>
    <mergeCell ref="I7:J7"/>
    <mergeCell ref="N7:O7"/>
    <mergeCell ref="A56:D56"/>
    <mergeCell ref="A59:D59"/>
    <mergeCell ref="A7:D7"/>
    <mergeCell ref="A9:D9"/>
    <mergeCell ref="A11:D11"/>
    <mergeCell ref="A12:D12"/>
    <mergeCell ref="A17:D17"/>
    <mergeCell ref="A21:D21"/>
    <mergeCell ref="A26:D26"/>
    <mergeCell ref="A25:D25"/>
    <mergeCell ref="A27:D27"/>
    <mergeCell ref="A28:D28"/>
    <mergeCell ref="A13:D13"/>
  </mergeCells>
  <dataValidations count="2">
    <dataValidation allowBlank="1" showInputMessage="1" showErrorMessage="1" promptTitle="BrutoDobit" prompt="Bruto dobit prema Bilansu uspeha, ne obuhvata otplatu glavice." sqref="A31:D31" xr:uid="{66392A71-23C3-4E43-BB92-CD61EDA734CA}"/>
    <dataValidation allowBlank="1" showInputMessage="1" showErrorMessage="1" promptTitle="CashFlow" prompt="Ne obuhvata amortizaciju, ali obuhvata otplatu glavnice." sqref="A36" xr:uid="{1FE83520-1579-43D5-B4B8-BFBB92C5BCD8}"/>
  </dataValidations>
  <hyperlinks>
    <hyperlink ref="I7:J7" location="Anuiteti!I4" display="NAZAD" xr:uid="{00000000-0004-0000-0500-000000000000}"/>
    <hyperlink ref="N7:O7" location="EconIndicators!A1" display="DALJE" xr:uid="{00000000-0004-0000-0500-000001000000}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C530FF-CAED-4621-8661-EADCEE4B8B6B}">
  <dimension ref="A3:Z61"/>
  <sheetViews>
    <sheetView showZeros="0" tabSelected="1" topLeftCell="A6" zoomScale="80" zoomScaleNormal="80" workbookViewId="0">
      <selection activeCell="M24" sqref="M24"/>
    </sheetView>
  </sheetViews>
  <sheetFormatPr defaultRowHeight="15" x14ac:dyDescent="0.25"/>
  <cols>
    <col min="4" max="4" width="13.7109375" customWidth="1"/>
    <col min="5" max="5" width="13.28515625" customWidth="1"/>
    <col min="6" max="6" width="11.85546875" customWidth="1"/>
    <col min="7" max="8" width="11.28515625" customWidth="1"/>
    <col min="9" max="9" width="11.85546875" customWidth="1"/>
    <col min="10" max="10" width="12.140625" customWidth="1"/>
    <col min="11" max="11" width="11.7109375" customWidth="1"/>
    <col min="12" max="12" width="11.5703125" customWidth="1"/>
    <col min="13" max="13" width="11.85546875" customWidth="1"/>
    <col min="14" max="14" width="12.42578125" customWidth="1"/>
    <col min="15" max="15" width="12" customWidth="1"/>
    <col min="16" max="16" width="12.42578125" customWidth="1"/>
    <col min="17" max="17" width="11.5703125" customWidth="1"/>
    <col min="18" max="18" width="12.5703125" customWidth="1"/>
    <col min="19" max="19" width="12.140625" customWidth="1"/>
    <col min="20" max="20" width="11.28515625" customWidth="1"/>
    <col min="21" max="21" width="12.42578125" customWidth="1"/>
    <col min="22" max="22" width="12.7109375" customWidth="1"/>
    <col min="23" max="23" width="12.5703125" customWidth="1"/>
    <col min="24" max="24" width="12.140625" customWidth="1"/>
    <col min="25" max="25" width="11.5703125" customWidth="1"/>
  </cols>
  <sheetData>
    <row r="3" spans="1:25" ht="16.5" x14ac:dyDescent="0.35">
      <c r="F3" s="56" t="s">
        <v>158</v>
      </c>
      <c r="G3" s="56"/>
      <c r="H3" s="56"/>
      <c r="I3" s="56"/>
    </row>
    <row r="7" spans="1:25" ht="21" x14ac:dyDescent="0.35">
      <c r="A7" s="68" t="s">
        <v>112</v>
      </c>
      <c r="B7" s="68"/>
      <c r="C7" s="68"/>
      <c r="D7" s="68"/>
      <c r="I7" s="70" t="s">
        <v>138</v>
      </c>
      <c r="J7" s="70"/>
      <c r="N7" s="71" t="s">
        <v>139</v>
      </c>
      <c r="O7" s="71"/>
    </row>
    <row r="9" spans="1:25" x14ac:dyDescent="0.25">
      <c r="A9" s="59" t="s">
        <v>66</v>
      </c>
      <c r="B9" s="59"/>
      <c r="C9" s="59"/>
      <c r="D9" s="59"/>
      <c r="E9" s="14">
        <v>0</v>
      </c>
      <c r="F9" s="14">
        <v>1</v>
      </c>
      <c r="G9" s="14">
        <f>IF(F9&lt;UnosPodataka!$M$24,'FinInd+CO2'!F9+1,"")</f>
        <v>2</v>
      </c>
      <c r="H9" s="14">
        <f>IF(G9&lt;UnosPodataka!$M$24,'FinInd+CO2'!G9+1,"")</f>
        <v>3</v>
      </c>
      <c r="I9" s="14">
        <f>IF(H9&lt;UnosPodataka!$M$24,'FinInd+CO2'!H9+1,"")</f>
        <v>4</v>
      </c>
      <c r="J9" s="14">
        <f>IF(I9&lt;UnosPodataka!$M$24,'FinInd+CO2'!I9+1,"")</f>
        <v>5</v>
      </c>
      <c r="K9" s="14">
        <f>IF(J9&lt;UnosPodataka!$M$24,'FinInd+CO2'!J9+1,"")</f>
        <v>6</v>
      </c>
      <c r="L9" s="14">
        <f>IF(K9&lt;UnosPodataka!$M$24,'FinInd+CO2'!K9+1,"")</f>
        <v>7</v>
      </c>
      <c r="M9" s="14">
        <f>IF(L9&lt;UnosPodataka!$M$24,'FinInd+CO2'!L9+1,"")</f>
        <v>8</v>
      </c>
      <c r="N9" s="14">
        <f>IF(M9&lt;UnosPodataka!$M$24,'FinInd+CO2'!M9+1,"")</f>
        <v>9</v>
      </c>
      <c r="O9" s="14">
        <f>IF(N9&lt;UnosPodataka!$M$24,'FinInd+CO2'!N9+1,"")</f>
        <v>10</v>
      </c>
      <c r="P9" s="14">
        <f>IF(O9&lt;UnosPodataka!$M$24,'FinInd+CO2'!O9+1,"")</f>
        <v>11</v>
      </c>
      <c r="Q9" s="14">
        <f>IF(P9&lt;UnosPodataka!$M$24,'FinInd+CO2'!P9+1,"")</f>
        <v>12</v>
      </c>
      <c r="R9" s="14">
        <f>IF(Q9&lt;UnosPodataka!$M$24,'FinInd+CO2'!Q9+1,"")</f>
        <v>13</v>
      </c>
      <c r="S9" s="14">
        <f>IF(R9&lt;UnosPodataka!$M$24,'FinInd+CO2'!R9+1,"")</f>
        <v>14</v>
      </c>
      <c r="T9" s="14">
        <f>IF(S9&lt;UnosPodataka!$M$24,'FinInd+CO2'!S9+1,"")</f>
        <v>15</v>
      </c>
      <c r="U9" s="14">
        <f>IF(T9&lt;UnosPodataka!$M$24,'FinInd+CO2'!T9+1,"")</f>
        <v>16</v>
      </c>
      <c r="V9" s="14">
        <f>IF(U9&lt;UnosPodataka!$M$24,'FinInd+CO2'!U9+1,"")</f>
        <v>17</v>
      </c>
      <c r="W9" s="14">
        <f>IF(V9&lt;UnosPodataka!$M$24,'FinInd+CO2'!V9+1,"")</f>
        <v>18</v>
      </c>
      <c r="X9" s="14">
        <f>IF(W9&lt;UnosPodataka!$M$24,'FinInd+CO2'!W9+1,"")</f>
        <v>19</v>
      </c>
      <c r="Y9" s="14">
        <f>IF(X9&lt;UnosPodataka!$M$24,'FinInd+CO2'!X9+1,"")</f>
        <v>20</v>
      </c>
    </row>
    <row r="11" spans="1:25" x14ac:dyDescent="0.25">
      <c r="A11" s="63" t="s">
        <v>113</v>
      </c>
      <c r="B11" s="63"/>
      <c r="C11" s="63"/>
      <c r="D11" s="63"/>
      <c r="E11" s="3">
        <f>LOAN</f>
        <v>89000</v>
      </c>
    </row>
    <row r="12" spans="1:25" x14ac:dyDescent="0.25">
      <c r="A12" s="63" t="s">
        <v>114</v>
      </c>
      <c r="B12" s="63"/>
      <c r="C12" s="63"/>
      <c r="D12" s="63"/>
      <c r="E12" s="3">
        <f>IF(Equity=0,LOAN,Equity)</f>
        <v>25000</v>
      </c>
    </row>
    <row r="13" spans="1:25" x14ac:dyDescent="0.25">
      <c r="A13" s="63" t="s">
        <v>160</v>
      </c>
      <c r="B13" s="63"/>
      <c r="C13" s="63"/>
      <c r="D13" s="63"/>
      <c r="E13" s="3">
        <f>+UnosPodataka!F21</f>
        <v>30000</v>
      </c>
    </row>
    <row r="14" spans="1:25" x14ac:dyDescent="0.25">
      <c r="A14" s="63" t="s">
        <v>125</v>
      </c>
      <c r="B14" s="63"/>
      <c r="C14" s="63"/>
      <c r="D14" s="63"/>
      <c r="F14" s="3">
        <f>IF(F9&lt;&gt;"",Ustede!$F$19,"")</f>
        <v>356.08311398399997</v>
      </c>
      <c r="G14" s="3">
        <f>IF(G9&lt;&gt;"",Ustede!$F$19,"")</f>
        <v>356.08311398399997</v>
      </c>
      <c r="H14" s="3">
        <f>IF(H9&lt;&gt;"",Ustede!$F$19,"")</f>
        <v>356.08311398399997</v>
      </c>
      <c r="I14" s="3">
        <f>IF(I9&lt;&gt;"",Ustede!$F$19,"")</f>
        <v>356.08311398399997</v>
      </c>
      <c r="J14" s="3">
        <f>IF(J9&lt;&gt;"",Ustede!$F$19,"")</f>
        <v>356.08311398399997</v>
      </c>
      <c r="K14" s="3">
        <f>IF(K9&lt;&gt;"",Ustede!$F$19,"")</f>
        <v>356.08311398399997</v>
      </c>
      <c r="L14" s="3">
        <f>IF(L9&lt;&gt;"",Ustede!$F$19,"")</f>
        <v>356.08311398399997</v>
      </c>
      <c r="M14" s="3">
        <f>IF(M9&lt;&gt;"",Ustede!$F$19,"")</f>
        <v>356.08311398399997</v>
      </c>
      <c r="N14" s="3">
        <f>IF(N9&lt;&gt;"",Ustede!$F$19,"")</f>
        <v>356.08311398399997</v>
      </c>
      <c r="O14" s="3">
        <f>IF(O9&lt;&gt;"",Ustede!$F$19,"")</f>
        <v>356.08311398399997</v>
      </c>
      <c r="P14" s="3">
        <f>IF(P9&lt;&gt;"",Ustede!$F$19,"")</f>
        <v>356.08311398399997</v>
      </c>
      <c r="Q14" s="3">
        <f>IF(Q9&lt;&gt;"",Ustede!$F$19,"")</f>
        <v>356.08311398399997</v>
      </c>
      <c r="R14" s="3">
        <f>IF(R9&lt;&gt;"",Ustede!$F$19,"")</f>
        <v>356.08311398399997</v>
      </c>
      <c r="S14" s="3">
        <f>IF(S9&lt;&gt;"",Ustede!$F$19,"")</f>
        <v>356.08311398399997</v>
      </c>
      <c r="T14" s="3">
        <f>IF(T9&lt;&gt;"",Ustede!$F$19,"")</f>
        <v>356.08311398399997</v>
      </c>
      <c r="U14" s="3">
        <f>IF(U9&lt;&gt;"",Ustede!$F$19,"")</f>
        <v>356.08311398399997</v>
      </c>
      <c r="V14" s="3">
        <f>IF(V9&lt;&gt;"",Ustede!$F$19,"")</f>
        <v>356.08311398399997</v>
      </c>
      <c r="W14" s="3">
        <f>IF(W9&lt;&gt;"",Ustede!$F$19,"")</f>
        <v>356.08311398399997</v>
      </c>
      <c r="X14" s="3">
        <f>IF(X9&lt;&gt;"",Ustede!$F$19,"")</f>
        <v>356.08311398399997</v>
      </c>
      <c r="Y14" s="3">
        <f>IF(Y9&lt;&gt;"",Ustede!$F$19,"")</f>
        <v>356.08311398399997</v>
      </c>
    </row>
    <row r="15" spans="1:25" x14ac:dyDescent="0.25">
      <c r="A15" s="63" t="s">
        <v>126</v>
      </c>
      <c r="B15" s="63"/>
      <c r="C15" s="63"/>
      <c r="D15" s="63"/>
      <c r="F15" s="3">
        <f>IF(F9&lt;&gt;"",(Ustede!$F$10-Ustede!$F$11),"")</f>
        <v>930</v>
      </c>
      <c r="G15" s="3">
        <f>IF(G9&lt;&gt;"",(Ustede!$F$10-Ustede!$F$11),"")</f>
        <v>930</v>
      </c>
      <c r="H15" s="3">
        <f>IF(H9&lt;&gt;"",(Ustede!$F$10-Ustede!$F$11),"")</f>
        <v>930</v>
      </c>
      <c r="I15" s="3">
        <f>IF(I9&lt;&gt;"",(Ustede!$F$10-Ustede!$F$11),"")</f>
        <v>930</v>
      </c>
      <c r="J15" s="3">
        <f>IF(J9&lt;&gt;"",(Ustede!$F$10-Ustede!$F$11),"")</f>
        <v>930</v>
      </c>
      <c r="K15" s="3">
        <f>IF(K9&lt;&gt;"",(Ustede!$F$10-Ustede!$F$11),"")</f>
        <v>930</v>
      </c>
      <c r="L15" s="3">
        <f>IF(L9&lt;&gt;"",(Ustede!$F$10-Ustede!$F$11),"")</f>
        <v>930</v>
      </c>
      <c r="M15" s="3">
        <f>IF(M9&lt;&gt;"",(Ustede!$F$10-Ustede!$F$11),"")</f>
        <v>930</v>
      </c>
      <c r="N15" s="3">
        <f>IF(N9&lt;&gt;"",(Ustede!$F$10-Ustede!$F$11),"")</f>
        <v>930</v>
      </c>
      <c r="O15" s="3">
        <f>IF(O9&lt;&gt;"",(Ustede!$F$10-Ustede!$F$11),"")</f>
        <v>930</v>
      </c>
      <c r="P15" s="3">
        <f>IF(P9&lt;&gt;"",(Ustede!$F$10-Ustede!$F$11),"")</f>
        <v>930</v>
      </c>
      <c r="Q15" s="3">
        <f>IF(Q9&lt;&gt;"",(Ustede!$F$10-Ustede!$F$11),"")</f>
        <v>930</v>
      </c>
      <c r="R15" s="3">
        <f>IF(R9&lt;&gt;"",(Ustede!$F$10-Ustede!$F$11),"")</f>
        <v>930</v>
      </c>
      <c r="S15" s="3">
        <f>IF(S9&lt;&gt;"",(Ustede!$F$10-Ustede!$F$11),"")</f>
        <v>930</v>
      </c>
      <c r="T15" s="3">
        <f>IF(T9&lt;&gt;"",(Ustede!$F$10-Ustede!$F$11),"")</f>
        <v>930</v>
      </c>
      <c r="U15" s="3">
        <f>IF(U9&lt;&gt;"",(Ustede!$F$10-Ustede!$F$11),"")</f>
        <v>930</v>
      </c>
      <c r="V15" s="3">
        <f>IF(V9&lt;&gt;"",(Ustede!$F$10-Ustede!$F$11),"")</f>
        <v>930</v>
      </c>
      <c r="W15" s="3">
        <f>IF(W9&lt;&gt;"",(Ustede!$F$10-Ustede!$F$11),"")</f>
        <v>930</v>
      </c>
      <c r="X15" s="3">
        <f>IF(X9&lt;&gt;"",(Ustede!$F$10-Ustede!$F$11),"")</f>
        <v>930</v>
      </c>
      <c r="Y15" s="3">
        <f>IF(Y9&lt;&gt;"",(Ustede!$F$10-Ustede!$F$11),"")</f>
        <v>930</v>
      </c>
    </row>
    <row r="16" spans="1:25" x14ac:dyDescent="0.25">
      <c r="A16" s="23"/>
      <c r="B16" s="23"/>
      <c r="C16" s="23"/>
      <c r="D16" s="2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25" x14ac:dyDescent="0.25">
      <c r="A17" s="59" t="s">
        <v>161</v>
      </c>
      <c r="B17" s="59"/>
      <c r="C17" s="59"/>
      <c r="D17" s="59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25" x14ac:dyDescent="0.25">
      <c r="A18" s="63" t="s">
        <v>115</v>
      </c>
      <c r="B18" s="63"/>
      <c r="C18" s="63"/>
      <c r="D18" s="63"/>
      <c r="F18" s="3">
        <f>IF(F9&lt;&gt;"",Ustede!$F$20,"")</f>
        <v>22109.914952787065</v>
      </c>
      <c r="G18" s="3">
        <f>IF(G9&lt;&gt;"",Ustede!$F$20,"")</f>
        <v>22109.914952787065</v>
      </c>
      <c r="H18" s="3">
        <f>IF(H9&lt;&gt;"",Ustede!$F$20,"")</f>
        <v>22109.914952787065</v>
      </c>
      <c r="I18" s="3">
        <f>IF(I9&lt;&gt;"",Ustede!$F$20,"")</f>
        <v>22109.914952787065</v>
      </c>
      <c r="J18" s="3">
        <f>IF(J9&lt;&gt;"",Ustede!$F$20,"")</f>
        <v>22109.914952787065</v>
      </c>
      <c r="K18" s="3">
        <f>IF(K9&lt;&gt;"",Ustede!$F$20,"")</f>
        <v>22109.914952787065</v>
      </c>
      <c r="L18" s="3">
        <f>IF(L9&lt;&gt;"",Ustede!$F$20,"")</f>
        <v>22109.914952787065</v>
      </c>
      <c r="M18" s="3">
        <f>IF(M9&lt;&gt;"",Ustede!$F$20,"")</f>
        <v>22109.914952787065</v>
      </c>
      <c r="N18" s="3">
        <f>IF(N9&lt;&gt;"",Ustede!$F$20,"")</f>
        <v>22109.914952787065</v>
      </c>
      <c r="O18" s="3">
        <f>IF(O9&lt;&gt;"",Ustede!$F$20,"")</f>
        <v>22109.914952787065</v>
      </c>
      <c r="P18" s="3">
        <f>IF(P9&lt;&gt;"",Ustede!$F$20,"")</f>
        <v>22109.914952787065</v>
      </c>
      <c r="Q18" s="3">
        <f>IF(Q9&lt;&gt;"",Ustede!$F$20,"")</f>
        <v>22109.914952787065</v>
      </c>
      <c r="R18" s="3">
        <f>IF(R9&lt;&gt;"",Ustede!$F$20,"")</f>
        <v>22109.914952787065</v>
      </c>
      <c r="S18" s="3">
        <f>IF(S9&lt;&gt;"",Ustede!$F$20,"")</f>
        <v>22109.914952787065</v>
      </c>
      <c r="T18" s="3">
        <f>IF(T9&lt;&gt;"",Ustede!$F$20,"")</f>
        <v>22109.914952787065</v>
      </c>
      <c r="U18" s="3">
        <f>IF(U9&lt;&gt;"",Ustede!$F$20,"")</f>
        <v>22109.914952787065</v>
      </c>
      <c r="V18" s="3">
        <f>IF(V9&lt;&gt;"",Ustede!$F$20,"")</f>
        <v>22109.914952787065</v>
      </c>
      <c r="W18" s="3">
        <f>IF(W9&lt;&gt;"",Ustede!$F$20,"")</f>
        <v>22109.914952787065</v>
      </c>
      <c r="X18" s="3">
        <f>IF(X9&lt;&gt;"",Ustede!$F$20,"")</f>
        <v>22109.914952787065</v>
      </c>
      <c r="Y18" s="3">
        <f>IF(Y9&lt;&gt;"",Ustede!$F$20,"")</f>
        <v>22109.914952787065</v>
      </c>
    </row>
    <row r="19" spans="1:25" ht="18" x14ac:dyDescent="0.35">
      <c r="A19" s="63" t="s">
        <v>127</v>
      </c>
      <c r="B19" s="63"/>
      <c r="C19" s="63"/>
      <c r="D19" s="63"/>
      <c r="F19" s="3">
        <f>IF(F9&lt;&gt;"",F14*UnosPodataka!$M$23*CARBON,"")</f>
        <v>7633.2824978522103</v>
      </c>
      <c r="G19" s="3">
        <f>IF(G9&lt;&gt;"",G14*UnosPodataka!$M$23*CARBON,"")</f>
        <v>7633.2824978522103</v>
      </c>
      <c r="H19" s="3">
        <f>IF(H9&lt;&gt;"",H14*UnosPodataka!$M$23*CARBON,"")</f>
        <v>7633.2824978522103</v>
      </c>
      <c r="I19" s="3">
        <f>IF(I9&lt;&gt;"",I14*UnosPodataka!$M$23*CARBON,"")</f>
        <v>7633.2824978522103</v>
      </c>
      <c r="J19" s="3">
        <f>IF(J9&lt;&gt;"",J14*UnosPodataka!$M$23*CARBON,"")</f>
        <v>7633.2824978522103</v>
      </c>
      <c r="K19" s="3">
        <f>IF(K9&lt;&gt;"",K14*UnosPodataka!$M$23*CARBON,"")</f>
        <v>7633.2824978522103</v>
      </c>
      <c r="L19" s="3">
        <f>IF(L9&lt;&gt;"",L14*UnosPodataka!$M$23*CARBON,"")</f>
        <v>7633.2824978522103</v>
      </c>
      <c r="M19" s="3">
        <f>IF(M9&lt;&gt;"",M14*UnosPodataka!$M$23*CARBON,"")</f>
        <v>7633.2824978522103</v>
      </c>
      <c r="N19" s="3">
        <f>IF(N9&lt;&gt;"",N14*UnosPodataka!$M$23*CARBON,"")</f>
        <v>7633.2824978522103</v>
      </c>
      <c r="O19" s="3">
        <f>IF(O9&lt;&gt;"",O14*UnosPodataka!$M$23*CARBON,"")</f>
        <v>7633.2824978522103</v>
      </c>
      <c r="P19" s="3">
        <f>IF(P9&lt;&gt;"",P14*UnosPodataka!$M$23*CARBON,"")</f>
        <v>7633.2824978522103</v>
      </c>
      <c r="Q19" s="3">
        <f>IF(Q9&lt;&gt;"",Q14*UnosPodataka!$M$23*CARBON,"")</f>
        <v>7633.2824978522103</v>
      </c>
      <c r="R19" s="3">
        <f>IF(R9&lt;&gt;"",R14*UnosPodataka!$M$23*CARBON,"")</f>
        <v>7633.2824978522103</v>
      </c>
      <c r="S19" s="3">
        <f>IF(S9&lt;&gt;"",S14*UnosPodataka!$M$23*CARBON,"")</f>
        <v>7633.2824978522103</v>
      </c>
      <c r="T19" s="3">
        <f>IF(T9&lt;&gt;"",T14*UnosPodataka!$M$23*CARBON,"")</f>
        <v>7633.2824978522103</v>
      </c>
      <c r="U19" s="3">
        <f>IF(U9&lt;&gt;"",U14*UnosPodataka!$M$23*CARBON,"")</f>
        <v>7633.2824978522103</v>
      </c>
      <c r="V19" s="3">
        <f>IF(V9&lt;&gt;"",V14*UnosPodataka!$M$23*CARBON,"")</f>
        <v>7633.2824978522103</v>
      </c>
      <c r="W19" s="3">
        <f>IF(W9&lt;&gt;"",W14*UnosPodataka!$M$23*CARBON,"")</f>
        <v>7633.2824978522103</v>
      </c>
      <c r="X19" s="3">
        <f>IF(X9&lt;&gt;"",X14*UnosPodataka!$M$23*CARBON,"")</f>
        <v>7633.2824978522103</v>
      </c>
      <c r="Y19" s="3">
        <f>IF(Y9&lt;&gt;"",Y14*UnosPodataka!$M$23*CARBON,"")</f>
        <v>7633.2824978522103</v>
      </c>
    </row>
    <row r="20" spans="1:25" x14ac:dyDescent="0.25">
      <c r="A20" s="72" t="s">
        <v>116</v>
      </c>
      <c r="B20" s="72"/>
      <c r="C20" s="72"/>
      <c r="D20" s="72"/>
      <c r="E20" s="38"/>
      <c r="F20" s="39">
        <f>IF(F9&lt;&gt;"",F18+F19,"")</f>
        <v>29743.197450639276</v>
      </c>
      <c r="G20" s="39">
        <f t="shared" ref="G20:Y20" si="0">IF(G9&lt;&gt;"",G18+G19,"")</f>
        <v>29743.197450639276</v>
      </c>
      <c r="H20" s="39">
        <f t="shared" si="0"/>
        <v>29743.197450639276</v>
      </c>
      <c r="I20" s="39">
        <f t="shared" si="0"/>
        <v>29743.197450639276</v>
      </c>
      <c r="J20" s="39">
        <f t="shared" si="0"/>
        <v>29743.197450639276</v>
      </c>
      <c r="K20" s="39">
        <f t="shared" si="0"/>
        <v>29743.197450639276</v>
      </c>
      <c r="L20" s="39">
        <f t="shared" si="0"/>
        <v>29743.197450639276</v>
      </c>
      <c r="M20" s="39">
        <f t="shared" si="0"/>
        <v>29743.197450639276</v>
      </c>
      <c r="N20" s="39">
        <f t="shared" si="0"/>
        <v>29743.197450639276</v>
      </c>
      <c r="O20" s="39">
        <f t="shared" si="0"/>
        <v>29743.197450639276</v>
      </c>
      <c r="P20" s="39">
        <f t="shared" si="0"/>
        <v>29743.197450639276</v>
      </c>
      <c r="Q20" s="39">
        <f t="shared" si="0"/>
        <v>29743.197450639276</v>
      </c>
      <c r="R20" s="39">
        <f t="shared" si="0"/>
        <v>29743.197450639276</v>
      </c>
      <c r="S20" s="39">
        <f t="shared" si="0"/>
        <v>29743.197450639276</v>
      </c>
      <c r="T20" s="39">
        <f t="shared" si="0"/>
        <v>29743.197450639276</v>
      </c>
      <c r="U20" s="39">
        <f t="shared" si="0"/>
        <v>29743.197450639276</v>
      </c>
      <c r="V20" s="39">
        <f t="shared" si="0"/>
        <v>29743.197450639276</v>
      </c>
      <c r="W20" s="39">
        <f t="shared" si="0"/>
        <v>29743.197450639276</v>
      </c>
      <c r="X20" s="39">
        <f t="shared" si="0"/>
        <v>29743.197450639276</v>
      </c>
      <c r="Y20" s="39">
        <f t="shared" si="0"/>
        <v>29743.197450639276</v>
      </c>
    </row>
    <row r="21" spans="1:25" x14ac:dyDescent="0.25">
      <c r="A21" s="67"/>
      <c r="B21" s="67"/>
      <c r="C21" s="67"/>
      <c r="D21" s="67"/>
    </row>
    <row r="22" spans="1:25" x14ac:dyDescent="0.25">
      <c r="A22" s="59" t="s">
        <v>162</v>
      </c>
      <c r="B22" s="59"/>
      <c r="C22" s="59"/>
      <c r="D22" s="59"/>
    </row>
    <row r="23" spans="1:25" x14ac:dyDescent="0.25">
      <c r="A23" s="63" t="s">
        <v>117</v>
      </c>
      <c r="B23" s="63"/>
      <c r="C23" s="63"/>
      <c r="D23" s="63"/>
      <c r="F23" s="3">
        <f>IF(F9&gt;UnosPodataka!$M$21,"",-VLOOKUP(F9,Anuiteti!$B$13:$E$32,3,FALSE))</f>
        <v>-10680</v>
      </c>
      <c r="G23" s="3">
        <f>IF(G9&gt;UnosPodataka!$M$21,"",-VLOOKUP(G9,Anuiteti!$B$13:$E$32,3,FALSE))</f>
        <v>-9811.6856540979097</v>
      </c>
      <c r="H23" s="3">
        <f>IF(H9&gt;UnosPodataka!$M$21,"",-VLOOKUP(H9,Anuiteti!$B$13:$E$32,3,FALSE))</f>
        <v>-8839.1735866875679</v>
      </c>
      <c r="I23" s="3">
        <f>IF(I9&gt;UnosPodataka!$M$21,"",-VLOOKUP(I9,Anuiteti!$B$13:$E$32,3,FALSE))</f>
        <v>-7749.9600711879857</v>
      </c>
      <c r="J23" s="3">
        <f>IF(J9&gt;UnosPodataka!$M$21,"",-VLOOKUP(J9,Anuiteti!$B$13:$E$32,3,FALSE))</f>
        <v>-6530.0409338284535</v>
      </c>
      <c r="K23" s="3">
        <f>IF(K9&gt;UnosPodataka!$M$21,"",-VLOOKUP(K9,Anuiteti!$B$13:$E$32,3,FALSE))</f>
        <v>-5163.7314999857772</v>
      </c>
      <c r="L23" s="3">
        <f>IF(L9&gt;UnosPodataka!$M$21,"",-VLOOKUP(L9,Anuiteti!$B$13:$E$32,3,FALSE))</f>
        <v>-3633.4649340819801</v>
      </c>
      <c r="M23" s="3">
        <f>IF(M9&gt;UnosPodataka!$M$21,"",-VLOOKUP(M9,Anuiteti!$B$13:$E$32,3,FALSE))</f>
        <v>-1919.5663802697266</v>
      </c>
      <c r="N23" s="3" t="str">
        <f>IF(N9&gt;UnosPodataka!$M$21,"",-VLOOKUP(N9,Anuiteti!$B$13:$E$32,3,FALSE))</f>
        <v/>
      </c>
      <c r="O23" s="3" t="str">
        <f>IF(O9&gt;UnosPodataka!$M$21,"",-VLOOKUP(O9,Anuiteti!$B$13:$E$32,3,FALSE))</f>
        <v/>
      </c>
      <c r="P23" s="3" t="str">
        <f>IF(P9&gt;UnosPodataka!$M$21,"",-VLOOKUP(P9,Anuiteti!$B$13:$E$32,3,FALSE))</f>
        <v/>
      </c>
      <c r="Q23" s="3" t="str">
        <f>IF(Q9&gt;UnosPodataka!$M$21,"",-VLOOKUP(Q9,Anuiteti!$B$13:$E$32,3,FALSE))</f>
        <v/>
      </c>
      <c r="R23" s="3" t="str">
        <f>IF(R9&gt;UnosPodataka!$M$21,"",-VLOOKUP(R9,Anuiteti!$B$13:$E$32,3,FALSE))</f>
        <v/>
      </c>
      <c r="S23" s="3" t="str">
        <f>IF(S9&gt;UnosPodataka!$M$21,"",-VLOOKUP(S9,Anuiteti!$B$13:$E$32,3,FALSE))</f>
        <v/>
      </c>
      <c r="T23" s="3" t="str">
        <f>IF(T9&gt;UnosPodataka!$M$21,"",-VLOOKUP(T9,Anuiteti!$B$13:$E$32,3,FALSE))</f>
        <v/>
      </c>
      <c r="U23" s="3" t="str">
        <f>IF(U9&gt;UnosPodataka!$M$21,"",-VLOOKUP(U9,Anuiteti!$B$13:$E$32,3,FALSE))</f>
        <v/>
      </c>
      <c r="V23" s="3" t="str">
        <f>IF(V9&gt;UnosPodataka!$M$21,"",-VLOOKUP(V9,Anuiteti!$B$13:$E$32,3,FALSE))</f>
        <v/>
      </c>
      <c r="W23" s="3" t="str">
        <f>IF(W9&gt;UnosPodataka!$M$21,"",-VLOOKUP(W9,Anuiteti!$B$13:$E$32,3,FALSE))</f>
        <v/>
      </c>
      <c r="X23" s="3" t="str">
        <f>IF(X9&gt;UnosPodataka!$M$21,"",-VLOOKUP(X9,Anuiteti!$B$13:$E$32,3,FALSE))</f>
        <v/>
      </c>
      <c r="Y23" s="3" t="str">
        <f>IF(Y9&gt;UnosPodataka!$M$21,"",-VLOOKUP(Y9,Anuiteti!$B$13:$E$32,3,FALSE))</f>
        <v/>
      </c>
    </row>
    <row r="24" spans="1:25" x14ac:dyDescent="0.25">
      <c r="A24" s="23" t="s">
        <v>163</v>
      </c>
      <c r="B24" s="23"/>
      <c r="C24" s="23"/>
      <c r="D24" s="23"/>
      <c r="F24" s="3">
        <f>IF(F23="",0,IF(F9&gt;UnosPodataka!$M$24,"",VLOOKUP(F9,Anuiteti!$B$13:$E$32,4,FALSE)+VLOOKUP(F9,Anuiteti!$B$13:$E$32,3,FALSE)))</f>
        <v>-7235.9528825174239</v>
      </c>
      <c r="G24" s="3">
        <f>IF(G23="",0,IF(G9&gt;UnosPodataka!$M$24,"",VLOOKUP(G9,Anuiteti!$B$13:$E$32,4,FALSE)+VLOOKUP(G9,Anuiteti!$B$13:$E$32,3,FALSE)))</f>
        <v>-8104.2672284195141</v>
      </c>
      <c r="H24" s="3">
        <f>IF(H23="",0,IF(H9&gt;UnosPodataka!$M$24,"",VLOOKUP(H9,Anuiteti!$B$13:$E$32,4,FALSE)+VLOOKUP(H9,Anuiteti!$B$13:$E$32,3,FALSE)))</f>
        <v>-9076.779295829856</v>
      </c>
      <c r="I24" s="3">
        <f>IF(I23="",0,IF(I9&gt;UnosPodataka!$M$24,"",VLOOKUP(I9,Anuiteti!$B$13:$E$32,4,FALSE)+VLOOKUP(I9,Anuiteti!$B$13:$E$32,3,FALSE)))</f>
        <v>-10165.992811329437</v>
      </c>
      <c r="J24" s="3">
        <f>IF(J23="",0,IF(J9&gt;UnosPodataka!$M$24,"",VLOOKUP(J9,Anuiteti!$B$13:$E$32,4,FALSE)+VLOOKUP(J9,Anuiteti!$B$13:$E$32,3,FALSE)))</f>
        <v>-11385.91194868897</v>
      </c>
      <c r="K24" s="3">
        <f>IF(K23="",0,IF(K9&gt;UnosPodataka!$M$24,"",VLOOKUP(K9,Anuiteti!$B$13:$E$32,4,FALSE)+VLOOKUP(K9,Anuiteti!$B$13:$E$32,3,FALSE)))</f>
        <v>-12752.221382531647</v>
      </c>
      <c r="L24" s="3">
        <f>IF(L23="",0,IF(L9&gt;UnosPodataka!$M$24,"",VLOOKUP(L9,Anuiteti!$B$13:$E$32,4,FALSE)+VLOOKUP(L9,Anuiteti!$B$13:$E$32,3,FALSE)))</f>
        <v>-14282.487948435444</v>
      </c>
      <c r="M24" s="3">
        <f>IF(M23="",0,IF(M9&gt;UnosPodataka!$M$24,"",VLOOKUP(M9,Anuiteti!$B$13:$E$32,4,FALSE)+VLOOKUP(M9,Anuiteti!$B$13:$E$32,3,FALSE)))</f>
        <v>-15996.386502247697</v>
      </c>
      <c r="N24" s="3">
        <f>IF(N23="",0,IF(N9&gt;UnosPodataka!$M$24,"",VLOOKUP(N9,Anuiteti!$B$13:$E$32,4,FALSE)+VLOOKUP(N9,Anuiteti!$B$13:$E$32,3,FALSE)))</f>
        <v>0</v>
      </c>
      <c r="O24" s="3">
        <f>IF(O23="",0,IF(O9&gt;UnosPodataka!$M$24,"",VLOOKUP(O9,Anuiteti!$B$13:$E$32,4,FALSE)+VLOOKUP(O9,Anuiteti!$B$13:$E$32,3,FALSE)))</f>
        <v>0</v>
      </c>
      <c r="P24" s="3">
        <f>IF(P23="",0,IF(P9&gt;UnosPodataka!$M$24,"",VLOOKUP(P9,Anuiteti!$B$13:$E$32,4,FALSE)+VLOOKUP(P9,Anuiteti!$B$13:$E$32,3,FALSE)))</f>
        <v>0</v>
      </c>
      <c r="Q24" s="3">
        <f>IF(Q23="",0,IF(Q9&gt;UnosPodataka!$M$24,"",VLOOKUP(Q9,Anuiteti!$B$13:$E$32,4,FALSE)+VLOOKUP(Q9,Anuiteti!$B$13:$E$32,3,FALSE)))</f>
        <v>0</v>
      </c>
      <c r="R24" s="3">
        <f>IF(R23="",0,IF(R9&gt;UnosPodataka!$M$24,"",VLOOKUP(R9,Anuiteti!$B$13:$E$32,4,FALSE)+VLOOKUP(R9,Anuiteti!$B$13:$E$32,3,FALSE)))</f>
        <v>0</v>
      </c>
      <c r="S24" s="3">
        <f>IF(S23="",0,IF(S9&gt;UnosPodataka!$M$24,"",VLOOKUP(S9,Anuiteti!$B$13:$E$32,4,FALSE)+VLOOKUP(S9,Anuiteti!$B$13:$E$32,3,FALSE)))</f>
        <v>0</v>
      </c>
      <c r="T24" s="3">
        <f>IF(T23="",0,IF(T9&gt;UnosPodataka!$M$24,"",VLOOKUP(T9,Anuiteti!$B$13:$E$32,4,FALSE)+VLOOKUP(T9,Anuiteti!$B$13:$E$32,3,FALSE)))</f>
        <v>0</v>
      </c>
      <c r="U24" s="3">
        <f>IF(U23="",0,IF(U9&gt;UnosPodataka!$M$24,"",VLOOKUP(U9,Anuiteti!$B$13:$E$32,4,FALSE)+VLOOKUP(U9,Anuiteti!$B$13:$E$32,3,FALSE)))</f>
        <v>0</v>
      </c>
      <c r="V24" s="3">
        <f>IF(V23="",0,IF(V9&gt;UnosPodataka!$M$24,"",VLOOKUP(V9,Anuiteti!$B$13:$E$32,4,FALSE)+VLOOKUP(V9,Anuiteti!$B$13:$E$32,3,FALSE)))</f>
        <v>0</v>
      </c>
      <c r="W24" s="3">
        <f>IF(W23="",0,IF(W9&gt;UnosPodataka!$M$24,"",VLOOKUP(W9,Anuiteti!$B$13:$E$32,4,FALSE)+VLOOKUP(W9,Anuiteti!$B$13:$E$32,3,FALSE)))</f>
        <v>0</v>
      </c>
      <c r="X24" s="3">
        <f>IF(X23="",0,IF(X9&gt;UnosPodataka!$M$24,"",VLOOKUP(X9,Anuiteti!$B$13:$E$32,4,FALSE)+VLOOKUP(X9,Anuiteti!$B$13:$E$32,3,FALSE)))</f>
        <v>0</v>
      </c>
      <c r="Y24" s="3">
        <f>IF(Y23="",0,IF(Y9&gt;UnosPodataka!$M$24,"",VLOOKUP(Y9,Anuiteti!$B$13:$E$32,4,FALSE)+VLOOKUP(Y9,Anuiteti!$B$13:$E$32,3,FALSE)))</f>
        <v>0</v>
      </c>
    </row>
    <row r="25" spans="1:25" x14ac:dyDescent="0.25">
      <c r="A25" s="63" t="s">
        <v>118</v>
      </c>
      <c r="B25" s="63"/>
      <c r="C25" s="63"/>
      <c r="D25" s="63"/>
      <c r="F25" s="3">
        <f>IF(F9&lt;&gt;"",-UnosPodataka!$M$9,"")</f>
        <v>0</v>
      </c>
      <c r="G25" s="3">
        <f>IF(G9&lt;&gt;"",-UnosPodataka!$M$9,"")</f>
        <v>0</v>
      </c>
      <c r="H25" s="3">
        <f>IF(H9&lt;&gt;"",-UnosPodataka!$M$9,"")</f>
        <v>0</v>
      </c>
      <c r="I25" s="3">
        <f>IF(I9&lt;&gt;"",-UnosPodataka!$M$9,"")</f>
        <v>0</v>
      </c>
      <c r="J25" s="3">
        <f>IF(J9&lt;&gt;"",-UnosPodataka!$M$9,"")</f>
        <v>0</v>
      </c>
      <c r="K25" s="3">
        <f>IF(K9&lt;&gt;"",-UnosPodataka!$M$9,"")</f>
        <v>0</v>
      </c>
      <c r="L25" s="3">
        <f>IF(L9&lt;&gt;"",-UnosPodataka!$M$9,"")</f>
        <v>0</v>
      </c>
      <c r="M25" s="3">
        <f>IF(M9&lt;&gt;"",-UnosPodataka!$M$9,"")</f>
        <v>0</v>
      </c>
      <c r="N25" s="3">
        <f>IF(N9&lt;&gt;"",-UnosPodataka!$M$9,"")</f>
        <v>0</v>
      </c>
      <c r="O25" s="3">
        <f>IF(O9&lt;&gt;"",-UnosPodataka!$M$9,"")</f>
        <v>0</v>
      </c>
      <c r="P25" s="3">
        <f>IF(P9&lt;&gt;"",-UnosPodataka!$M$9,"")</f>
        <v>0</v>
      </c>
      <c r="Q25" s="3">
        <f>IF(Q9&lt;&gt;"",-UnosPodataka!$M$9,"")</f>
        <v>0</v>
      </c>
      <c r="R25" s="3">
        <f>IF(R9&lt;&gt;"",-UnosPodataka!$M$9,"")</f>
        <v>0</v>
      </c>
      <c r="S25" s="3">
        <f>IF(S9&lt;&gt;"",-UnosPodataka!$M$9,"")</f>
        <v>0</v>
      </c>
      <c r="T25" s="3">
        <f>IF(T9&lt;&gt;"",-UnosPodataka!$M$9,"")</f>
        <v>0</v>
      </c>
      <c r="U25" s="3">
        <f>IF(U9&lt;&gt;"",-UnosPodataka!$M$9,"")</f>
        <v>0</v>
      </c>
      <c r="V25" s="3">
        <f>IF(V9&lt;&gt;"",-UnosPodataka!$M$9,"")</f>
        <v>0</v>
      </c>
      <c r="W25" s="3">
        <f>IF(W9&lt;&gt;"",-UnosPodataka!$M$9,"")</f>
        <v>0</v>
      </c>
      <c r="X25" s="3">
        <f>IF(X9&lt;&gt;"",-UnosPodataka!$M$9,"")</f>
        <v>0</v>
      </c>
      <c r="Y25" s="3">
        <f>IF(Y9&lt;&gt;"",-UnosPodataka!$M$9,"")</f>
        <v>0</v>
      </c>
    </row>
    <row r="26" spans="1:25" x14ac:dyDescent="0.25">
      <c r="A26" s="63" t="s">
        <v>119</v>
      </c>
      <c r="B26" s="63"/>
      <c r="C26" s="63"/>
      <c r="D26" s="63"/>
      <c r="F26" s="3">
        <f>IF(F9&lt;&gt;"",-Investment*UnosPodataka!$M$11,"")</f>
        <v>-4320</v>
      </c>
      <c r="G26" s="3">
        <f>IF(G9&lt;&gt;"",-Investment*UnosPodataka!$M$11,"")</f>
        <v>-4320</v>
      </c>
      <c r="H26" s="3">
        <f>IF(H9&lt;&gt;"",-Investment*UnosPodataka!$M$11,"")</f>
        <v>-4320</v>
      </c>
      <c r="I26" s="3">
        <f>IF(I9&lt;&gt;"",-Investment*UnosPodataka!$M$11,"")</f>
        <v>-4320</v>
      </c>
      <c r="J26" s="3">
        <f>IF(J9&lt;&gt;"",-Investment*UnosPodataka!$M$11,"")</f>
        <v>-4320</v>
      </c>
      <c r="K26" s="3">
        <f>IF(K9&lt;&gt;"",-Investment*UnosPodataka!$M$11,"")</f>
        <v>-4320</v>
      </c>
      <c r="L26" s="3">
        <f>IF(L9&lt;&gt;"",-Investment*UnosPodataka!$M$11,"")</f>
        <v>-4320</v>
      </c>
      <c r="M26" s="3">
        <f>IF(M9&lt;&gt;"",-Investment*UnosPodataka!$M$11,"")</f>
        <v>-4320</v>
      </c>
      <c r="N26" s="3">
        <f>IF(N9&lt;&gt;"",-Investment*UnosPodataka!$M$11,"")</f>
        <v>-4320</v>
      </c>
      <c r="O26" s="3">
        <f>IF(O9&lt;&gt;"",-Investment*UnosPodataka!$M$11,"")</f>
        <v>-4320</v>
      </c>
      <c r="P26" s="3">
        <f>IF(P9&lt;&gt;"",-Investment*UnosPodataka!$M$11,"")</f>
        <v>-4320</v>
      </c>
      <c r="Q26" s="3">
        <f>IF(Q9&lt;&gt;"",-Investment*UnosPodataka!$M$11,"")</f>
        <v>-4320</v>
      </c>
      <c r="R26" s="3">
        <f>IF(R9&lt;&gt;"",-Investment*UnosPodataka!$M$11,"")</f>
        <v>-4320</v>
      </c>
      <c r="S26" s="3">
        <f>IF(S9&lt;&gt;"",-Investment*UnosPodataka!$M$11,"")</f>
        <v>-4320</v>
      </c>
      <c r="T26" s="3">
        <f>IF(T9&lt;&gt;"",-Investment*UnosPodataka!$M$11,"")</f>
        <v>-4320</v>
      </c>
      <c r="U26" s="3">
        <f>IF(U9&lt;&gt;"",-Investment*UnosPodataka!$M$11,"")</f>
        <v>-4320</v>
      </c>
      <c r="V26" s="3">
        <f>IF(V9&lt;&gt;"",-Investment*UnosPodataka!$M$11,"")</f>
        <v>-4320</v>
      </c>
      <c r="W26" s="3">
        <f>IF(W9&lt;&gt;"",-Investment*UnosPodataka!$M$11,"")</f>
        <v>-4320</v>
      </c>
      <c r="X26" s="3">
        <f>IF(X9&lt;&gt;"",-Investment*UnosPodataka!$M$11,"")</f>
        <v>-4320</v>
      </c>
      <c r="Y26" s="3">
        <f>IF(Y9&lt;&gt;"",-Investment*UnosPodataka!$M$11,"")</f>
        <v>-4320</v>
      </c>
    </row>
    <row r="27" spans="1:25" x14ac:dyDescent="0.25">
      <c r="A27" s="63" t="s">
        <v>164</v>
      </c>
      <c r="B27" s="63"/>
      <c r="C27" s="63"/>
      <c r="D27" s="63"/>
      <c r="F27" s="3">
        <f>IF(F9&lt;&gt;"",-Investment*UnosPodataka!$M$12,"")</f>
        <v>-3600</v>
      </c>
      <c r="G27" s="3">
        <f>IF(G9&lt;&gt;"",-Investment*UnosPodataka!$M$12,"")</f>
        <v>-3600</v>
      </c>
      <c r="H27" s="3">
        <f>IF(H9&lt;&gt;"",-Investment*UnosPodataka!$M$12,"")</f>
        <v>-3600</v>
      </c>
      <c r="I27" s="3">
        <f>IF(I9&lt;&gt;"",-Investment*UnosPodataka!$M$12,"")</f>
        <v>-3600</v>
      </c>
      <c r="J27" s="3">
        <f>IF(J9&lt;&gt;"",-Investment*UnosPodataka!$M$12,"")</f>
        <v>-3600</v>
      </c>
      <c r="K27" s="3">
        <f>IF(K9&lt;&gt;"",-Investment*UnosPodataka!$M$12,"")</f>
        <v>-3600</v>
      </c>
      <c r="L27" s="3">
        <f>IF(L9&lt;&gt;"",-Investment*UnosPodataka!$M$12,"")</f>
        <v>-3600</v>
      </c>
      <c r="M27" s="3">
        <f>IF(M9&lt;&gt;"",-Investment*UnosPodataka!$M$12,"")</f>
        <v>-3600</v>
      </c>
      <c r="N27" s="3">
        <f>IF(N9&lt;&gt;"",-Investment*UnosPodataka!$M$12,"")</f>
        <v>-3600</v>
      </c>
      <c r="O27" s="3">
        <f>IF(O9&lt;&gt;"",-Investment*UnosPodataka!$M$12,"")</f>
        <v>-3600</v>
      </c>
      <c r="P27" s="3">
        <f>IF(P9&lt;&gt;"",-Investment*UnosPodataka!$M$12,"")</f>
        <v>-3600</v>
      </c>
      <c r="Q27" s="3">
        <f>IF(Q9&lt;&gt;"",-Investment*UnosPodataka!$M$12,"")</f>
        <v>-3600</v>
      </c>
      <c r="R27" s="3">
        <f>IF(R9&lt;&gt;"",-Investment*UnosPodataka!$M$12,"")</f>
        <v>-3600</v>
      </c>
      <c r="S27" s="3">
        <f>IF(S9&lt;&gt;"",-Investment*UnosPodataka!$M$12,"")</f>
        <v>-3600</v>
      </c>
      <c r="T27" s="3">
        <f>IF(T9&lt;&gt;"",-Investment*UnosPodataka!$M$12,"")</f>
        <v>-3600</v>
      </c>
      <c r="U27" s="3">
        <f>IF(U9&lt;&gt;"",-Investment*UnosPodataka!$M$12,"")</f>
        <v>-3600</v>
      </c>
      <c r="V27" s="3">
        <f>IF(V9&lt;&gt;"",-Investment*UnosPodataka!$M$12,"")</f>
        <v>-3600</v>
      </c>
      <c r="W27" s="3">
        <f>IF(W9&lt;&gt;"",-Investment*UnosPodataka!$M$12,"")</f>
        <v>-3600</v>
      </c>
      <c r="X27" s="3">
        <f>IF(X9&lt;&gt;"",-Investment*UnosPodataka!$M$12,"")</f>
        <v>-3600</v>
      </c>
      <c r="Y27" s="3">
        <f>IF(Y9&lt;&gt;"",-Investment*UnosPodataka!$M$12,"")</f>
        <v>-3600</v>
      </c>
    </row>
    <row r="28" spans="1:25" x14ac:dyDescent="0.25">
      <c r="A28" s="63" t="s">
        <v>140</v>
      </c>
      <c r="B28" s="63"/>
      <c r="C28" s="63"/>
      <c r="D28" s="63"/>
      <c r="F28" s="3">
        <f>IF(F9&lt;&gt;"",-(1-UnosPodataka!$M$10)*F18,"")</f>
        <v>0</v>
      </c>
      <c r="G28" s="3">
        <f>IF(G9&lt;&gt;"",-(1-UnosPodataka!$M$10)*G18,"")</f>
        <v>0</v>
      </c>
      <c r="H28" s="3">
        <f>IF(H9&lt;&gt;"",-(1-UnosPodataka!$M$10)*H18,"")</f>
        <v>0</v>
      </c>
      <c r="I28" s="3">
        <f>IF(I9&lt;&gt;"",-(1-UnosPodataka!$M$10)*I18,"")</f>
        <v>0</v>
      </c>
      <c r="J28" s="3">
        <f>IF(J9&lt;&gt;"",-(1-UnosPodataka!$M$10)*J18,"")</f>
        <v>0</v>
      </c>
      <c r="K28" s="3">
        <f>IF(K9&lt;&gt;"",-(1-UnosPodataka!$M$10)*K18,"")</f>
        <v>0</v>
      </c>
      <c r="L28" s="3">
        <f>IF(L9&lt;&gt;"",-(1-UnosPodataka!$M$10)*L18,"")</f>
        <v>0</v>
      </c>
      <c r="M28" s="3">
        <f>IF(M9&lt;&gt;"",-(1-UnosPodataka!$M$10)*M18,"")</f>
        <v>0</v>
      </c>
      <c r="N28" s="3">
        <f>IF(N9&lt;&gt;"",-(1-UnosPodataka!$M$10)*N18,"")</f>
        <v>0</v>
      </c>
      <c r="O28" s="3">
        <f>IF(O9&lt;&gt;"",-(1-UnosPodataka!$M$10)*O18,"")</f>
        <v>0</v>
      </c>
      <c r="P28" s="3">
        <f>IF(P9&lt;&gt;"",-(1-UnosPodataka!$M$10)*P18,"")</f>
        <v>0</v>
      </c>
      <c r="Q28" s="3">
        <f>IF(Q9&lt;&gt;"",-(1-UnosPodataka!$M$10)*Q18,"")</f>
        <v>0</v>
      </c>
      <c r="R28" s="3">
        <f>IF(R9&lt;&gt;"",-(1-UnosPodataka!$M$10)*R18,"")</f>
        <v>0</v>
      </c>
      <c r="S28" s="3">
        <f>IF(S9&lt;&gt;"",-(1-UnosPodataka!$M$10)*S18,"")</f>
        <v>0</v>
      </c>
      <c r="T28" s="3">
        <f>IF(T9&lt;&gt;"",-(1-UnosPodataka!$M$10)*T18,"")</f>
        <v>0</v>
      </c>
      <c r="U28" s="3">
        <f>IF(U9&lt;&gt;"",-(1-UnosPodataka!$M$10)*U18,"")</f>
        <v>0</v>
      </c>
      <c r="V28" s="3">
        <f>IF(V9&lt;&gt;"",-(1-UnosPodataka!$M$10)*V18,"")</f>
        <v>0</v>
      </c>
      <c r="W28" s="3">
        <f>IF(W9&lt;&gt;"",-(1-UnosPodataka!$M$10)*W18,"")</f>
        <v>0</v>
      </c>
      <c r="X28" s="3">
        <f>IF(X9&lt;&gt;"",-(1-UnosPodataka!$M$10)*X18,"")</f>
        <v>0</v>
      </c>
      <c r="Y28" s="3">
        <f>IF(Y9&lt;&gt;"",-(1-UnosPodataka!$M$10)*Y18,"")</f>
        <v>0</v>
      </c>
    </row>
    <row r="29" spans="1:25" x14ac:dyDescent="0.25">
      <c r="A29" s="72" t="s">
        <v>120</v>
      </c>
      <c r="B29" s="72"/>
      <c r="C29" s="72"/>
      <c r="D29" s="72"/>
      <c r="E29" s="38"/>
      <c r="F29" s="39">
        <f>IF(F9&lt;&gt;"",SUM(F23:F28),"")</f>
        <v>-25835.952882517424</v>
      </c>
      <c r="G29" s="39">
        <f t="shared" ref="G29:Y29" si="1">IF(G9&lt;&gt;"",SUM(G23:G28),"")</f>
        <v>-25835.952882517424</v>
      </c>
      <c r="H29" s="39">
        <f t="shared" si="1"/>
        <v>-25835.952882517424</v>
      </c>
      <c r="I29" s="39">
        <f t="shared" si="1"/>
        <v>-25835.952882517424</v>
      </c>
      <c r="J29" s="39">
        <f t="shared" si="1"/>
        <v>-25835.952882517424</v>
      </c>
      <c r="K29" s="39">
        <f t="shared" si="1"/>
        <v>-25835.952882517424</v>
      </c>
      <c r="L29" s="39">
        <f t="shared" si="1"/>
        <v>-25835.952882517424</v>
      </c>
      <c r="M29" s="39">
        <f t="shared" si="1"/>
        <v>-25835.952882517424</v>
      </c>
      <c r="N29" s="39">
        <f t="shared" si="1"/>
        <v>-7920</v>
      </c>
      <c r="O29" s="39">
        <f t="shared" si="1"/>
        <v>-7920</v>
      </c>
      <c r="P29" s="39">
        <f t="shared" si="1"/>
        <v>-7920</v>
      </c>
      <c r="Q29" s="39">
        <f t="shared" si="1"/>
        <v>-7920</v>
      </c>
      <c r="R29" s="39">
        <f t="shared" si="1"/>
        <v>-7920</v>
      </c>
      <c r="S29" s="39">
        <f t="shared" si="1"/>
        <v>-7920</v>
      </c>
      <c r="T29" s="39">
        <f t="shared" si="1"/>
        <v>-7920</v>
      </c>
      <c r="U29" s="39">
        <f t="shared" si="1"/>
        <v>-7920</v>
      </c>
      <c r="V29" s="39">
        <f t="shared" si="1"/>
        <v>-7920</v>
      </c>
      <c r="W29" s="39">
        <f t="shared" si="1"/>
        <v>-7920</v>
      </c>
      <c r="X29" s="39">
        <f t="shared" si="1"/>
        <v>-7920</v>
      </c>
      <c r="Y29" s="39">
        <f t="shared" si="1"/>
        <v>-7920</v>
      </c>
    </row>
    <row r="31" spans="1:25" x14ac:dyDescent="0.25">
      <c r="A31" t="s">
        <v>165</v>
      </c>
      <c r="E31" s="3">
        <f>-SUM(E11:E13)</f>
        <v>-144000</v>
      </c>
      <c r="F31" s="3">
        <f>+F29-F27-F34</f>
        <v>-23907.432500113315</v>
      </c>
      <c r="G31" s="3">
        <f t="shared" ref="G31:Y31" si="2">+G29-G27-G34</f>
        <v>-24037.679651998627</v>
      </c>
      <c r="H31" s="3">
        <f t="shared" si="2"/>
        <v>-24183.55646211018</v>
      </c>
      <c r="I31" s="3">
        <f t="shared" si="2"/>
        <v>-24346.938489435117</v>
      </c>
      <c r="J31" s="3">
        <f t="shared" si="2"/>
        <v>-24529.926360039048</v>
      </c>
      <c r="K31" s="3">
        <f t="shared" si="2"/>
        <v>-24734.872775115447</v>
      </c>
      <c r="L31" s="3">
        <f t="shared" si="2"/>
        <v>-24964.412760001018</v>
      </c>
      <c r="M31" s="3">
        <f t="shared" si="2"/>
        <v>-25221.497543072855</v>
      </c>
      <c r="N31" s="3">
        <f t="shared" si="2"/>
        <v>-7593.4796175958909</v>
      </c>
      <c r="O31" s="3">
        <f t="shared" si="2"/>
        <v>-7593.4796175958909</v>
      </c>
      <c r="P31" s="3">
        <f t="shared" si="2"/>
        <v>-7593.4796175958909</v>
      </c>
      <c r="Q31" s="3">
        <f t="shared" si="2"/>
        <v>-7593.4796175958909</v>
      </c>
      <c r="R31" s="3">
        <f t="shared" si="2"/>
        <v>-7593.4796175958909</v>
      </c>
      <c r="S31" s="3">
        <f t="shared" si="2"/>
        <v>-7593.4796175958909</v>
      </c>
      <c r="T31" s="3">
        <f t="shared" si="2"/>
        <v>-7593.4796175958909</v>
      </c>
      <c r="U31" s="3">
        <f t="shared" si="2"/>
        <v>-7593.4796175958909</v>
      </c>
      <c r="V31" s="3">
        <f t="shared" si="2"/>
        <v>-7593.4796175958909</v>
      </c>
      <c r="W31" s="3">
        <f t="shared" si="2"/>
        <v>-7593.4796175958909</v>
      </c>
      <c r="X31" s="3">
        <f t="shared" si="2"/>
        <v>-7593.4796175958909</v>
      </c>
      <c r="Y31" s="3">
        <f t="shared" si="2"/>
        <v>-7593.4796175958909</v>
      </c>
    </row>
    <row r="32" spans="1:25" x14ac:dyDescent="0.25">
      <c r="A32" s="59" t="s">
        <v>166</v>
      </c>
      <c r="B32" s="59"/>
      <c r="C32" s="59"/>
      <c r="D32" s="59"/>
      <c r="F32" s="3">
        <f>IF(F9&lt;&gt;"",F20+F29-F24,"")</f>
        <v>11143.197450639276</v>
      </c>
      <c r="G32" s="3">
        <f t="shared" ref="G32:Y32" si="3">IF(G9&lt;&gt;"",G20+G29-G24,"")</f>
        <v>12011.511796541366</v>
      </c>
      <c r="H32" s="3">
        <f t="shared" si="3"/>
        <v>12984.023863951708</v>
      </c>
      <c r="I32" s="3">
        <f t="shared" si="3"/>
        <v>14073.23737945129</v>
      </c>
      <c r="J32" s="3">
        <f t="shared" si="3"/>
        <v>15293.156516810823</v>
      </c>
      <c r="K32" s="3">
        <f t="shared" si="3"/>
        <v>16659.465950653499</v>
      </c>
      <c r="L32" s="3">
        <f t="shared" si="3"/>
        <v>18189.732516557298</v>
      </c>
      <c r="M32" s="3">
        <f t="shared" si="3"/>
        <v>19903.631070369549</v>
      </c>
      <c r="N32" s="3">
        <f t="shared" si="3"/>
        <v>21823.197450639276</v>
      </c>
      <c r="O32" s="3">
        <f t="shared" si="3"/>
        <v>21823.197450639276</v>
      </c>
      <c r="P32" s="3">
        <f t="shared" si="3"/>
        <v>21823.197450639276</v>
      </c>
      <c r="Q32" s="3">
        <f t="shared" si="3"/>
        <v>21823.197450639276</v>
      </c>
      <c r="R32" s="3">
        <f t="shared" si="3"/>
        <v>21823.197450639276</v>
      </c>
      <c r="S32" s="3">
        <f t="shared" si="3"/>
        <v>21823.197450639276</v>
      </c>
      <c r="T32" s="3">
        <f t="shared" si="3"/>
        <v>21823.197450639276</v>
      </c>
      <c r="U32" s="3">
        <f t="shared" si="3"/>
        <v>21823.197450639276</v>
      </c>
      <c r="V32" s="3">
        <f t="shared" si="3"/>
        <v>21823.197450639276</v>
      </c>
      <c r="W32" s="3">
        <f t="shared" si="3"/>
        <v>21823.197450639276</v>
      </c>
      <c r="X32" s="3">
        <f t="shared" si="3"/>
        <v>21823.197450639276</v>
      </c>
      <c r="Y32" s="3">
        <f t="shared" si="3"/>
        <v>21823.197450639276</v>
      </c>
    </row>
    <row r="33" spans="1:25" x14ac:dyDescent="0.25">
      <c r="A33" s="73"/>
      <c r="B33" s="73"/>
      <c r="C33" s="73"/>
      <c r="D33" s="73"/>
    </row>
    <row r="34" spans="1:25" x14ac:dyDescent="0.25">
      <c r="A34" s="63" t="s">
        <v>121</v>
      </c>
      <c r="B34" s="63"/>
      <c r="C34" s="63"/>
      <c r="D34" s="63"/>
      <c r="F34" s="3">
        <f>IF(F9&lt;&gt;"",IF(F32&gt;0,F32*VAT,0),"")</f>
        <v>1671.4796175958913</v>
      </c>
      <c r="G34" s="3">
        <f t="shared" ref="G34:Y34" si="4">IF(G9&lt;&gt;"",IF(G32&gt;0,G32*VAT,0),"")</f>
        <v>1801.7267694812049</v>
      </c>
      <c r="H34" s="3">
        <f t="shared" si="4"/>
        <v>1947.6035795927562</v>
      </c>
      <c r="I34" s="3">
        <f t="shared" si="4"/>
        <v>2110.9856069176935</v>
      </c>
      <c r="J34" s="3">
        <f t="shared" si="4"/>
        <v>2293.9734775216234</v>
      </c>
      <c r="K34" s="3">
        <f t="shared" si="4"/>
        <v>2498.9198925980249</v>
      </c>
      <c r="L34" s="3">
        <f t="shared" si="4"/>
        <v>2728.4598774835945</v>
      </c>
      <c r="M34" s="3">
        <f t="shared" si="4"/>
        <v>2985.5446605554321</v>
      </c>
      <c r="N34" s="3">
        <f t="shared" si="4"/>
        <v>3273.4796175958913</v>
      </c>
      <c r="O34" s="3">
        <f t="shared" si="4"/>
        <v>3273.4796175958913</v>
      </c>
      <c r="P34" s="3">
        <f t="shared" si="4"/>
        <v>3273.4796175958913</v>
      </c>
      <c r="Q34" s="3">
        <f t="shared" si="4"/>
        <v>3273.4796175958913</v>
      </c>
      <c r="R34" s="3">
        <f t="shared" si="4"/>
        <v>3273.4796175958913</v>
      </c>
      <c r="S34" s="3">
        <f t="shared" si="4"/>
        <v>3273.4796175958913</v>
      </c>
      <c r="T34" s="3">
        <f t="shared" si="4"/>
        <v>3273.4796175958913</v>
      </c>
      <c r="U34" s="3">
        <f t="shared" si="4"/>
        <v>3273.4796175958913</v>
      </c>
      <c r="V34" s="3">
        <f t="shared" si="4"/>
        <v>3273.4796175958913</v>
      </c>
      <c r="W34" s="3">
        <f t="shared" si="4"/>
        <v>3273.4796175958913</v>
      </c>
      <c r="X34" s="3">
        <f t="shared" si="4"/>
        <v>3273.4796175958913</v>
      </c>
      <c r="Y34" s="3">
        <f t="shared" si="4"/>
        <v>3273.4796175958913</v>
      </c>
    </row>
    <row r="35" spans="1:25" x14ac:dyDescent="0.25">
      <c r="A35" s="59" t="s">
        <v>122</v>
      </c>
      <c r="B35" s="59"/>
      <c r="C35" s="59"/>
      <c r="D35" s="59"/>
      <c r="E35" s="3"/>
      <c r="F35" s="3">
        <f>IF(F9&lt;&gt;"",F32-F34,"")</f>
        <v>9471.7178330433853</v>
      </c>
      <c r="G35" s="3">
        <f t="shared" ref="G35:Y35" si="5">IF(G9&lt;&gt;"",G32-G34,"")</f>
        <v>10209.785027060161</v>
      </c>
      <c r="H35" s="3">
        <f t="shared" si="5"/>
        <v>11036.420284358952</v>
      </c>
      <c r="I35" s="3">
        <f t="shared" si="5"/>
        <v>11962.251772533597</v>
      </c>
      <c r="J35" s="3">
        <f t="shared" si="5"/>
        <v>12999.183039289199</v>
      </c>
      <c r="K35" s="3">
        <f t="shared" si="5"/>
        <v>14160.546058055474</v>
      </c>
      <c r="L35" s="3">
        <f t="shared" si="5"/>
        <v>15461.272639073704</v>
      </c>
      <c r="M35" s="3">
        <f t="shared" si="5"/>
        <v>16918.086409814117</v>
      </c>
      <c r="N35" s="3">
        <f t="shared" si="5"/>
        <v>18549.717833043385</v>
      </c>
      <c r="O35" s="3">
        <f t="shared" si="5"/>
        <v>18549.717833043385</v>
      </c>
      <c r="P35" s="3">
        <f t="shared" si="5"/>
        <v>18549.717833043385</v>
      </c>
      <c r="Q35" s="3">
        <f t="shared" si="5"/>
        <v>18549.717833043385</v>
      </c>
      <c r="R35" s="3">
        <f t="shared" si="5"/>
        <v>18549.717833043385</v>
      </c>
      <c r="S35" s="3">
        <f t="shared" si="5"/>
        <v>18549.717833043385</v>
      </c>
      <c r="T35" s="3">
        <f t="shared" si="5"/>
        <v>18549.717833043385</v>
      </c>
      <c r="U35" s="3">
        <f t="shared" si="5"/>
        <v>18549.717833043385</v>
      </c>
      <c r="V35" s="3">
        <f t="shared" si="5"/>
        <v>18549.717833043385</v>
      </c>
      <c r="W35" s="3">
        <f t="shared" si="5"/>
        <v>18549.717833043385</v>
      </c>
      <c r="X35" s="3">
        <f t="shared" si="5"/>
        <v>18549.717833043385</v>
      </c>
      <c r="Y35" s="3">
        <f t="shared" si="5"/>
        <v>18549.717833043385</v>
      </c>
    </row>
    <row r="37" spans="1:25" x14ac:dyDescent="0.25">
      <c r="A37" s="42" t="s">
        <v>175</v>
      </c>
      <c r="E37" s="3">
        <f>-SUM(E11:E13)</f>
        <v>-144000</v>
      </c>
      <c r="F37" s="3">
        <f>+F35+F24-F27</f>
        <v>5835.7649505259615</v>
      </c>
      <c r="G37" s="3">
        <f t="shared" ref="G37:Y37" si="6">+G35+G24-G27</f>
        <v>5705.517798640647</v>
      </c>
      <c r="H37" s="3">
        <f t="shared" si="6"/>
        <v>5559.6409885290959</v>
      </c>
      <c r="I37" s="3">
        <f t="shared" si="6"/>
        <v>5396.2589612041593</v>
      </c>
      <c r="J37" s="3">
        <f t="shared" si="6"/>
        <v>5213.2710906002285</v>
      </c>
      <c r="K37" s="3">
        <f t="shared" si="6"/>
        <v>5008.324675523827</v>
      </c>
      <c r="L37" s="3">
        <f t="shared" si="6"/>
        <v>4778.7846906382601</v>
      </c>
      <c r="M37" s="3">
        <f t="shared" si="6"/>
        <v>4521.6999075664207</v>
      </c>
      <c r="N37" s="3">
        <f t="shared" si="6"/>
        <v>22149.717833043385</v>
      </c>
      <c r="O37" s="3">
        <f t="shared" si="6"/>
        <v>22149.717833043385</v>
      </c>
      <c r="P37" s="3">
        <f t="shared" si="6"/>
        <v>22149.717833043385</v>
      </c>
      <c r="Q37" s="3">
        <f t="shared" si="6"/>
        <v>22149.717833043385</v>
      </c>
      <c r="R37" s="3">
        <f t="shared" si="6"/>
        <v>22149.717833043385</v>
      </c>
      <c r="S37" s="3">
        <f t="shared" si="6"/>
        <v>22149.717833043385</v>
      </c>
      <c r="T37" s="3">
        <f t="shared" si="6"/>
        <v>22149.717833043385</v>
      </c>
      <c r="U37" s="3">
        <f t="shared" si="6"/>
        <v>22149.717833043385</v>
      </c>
      <c r="V37" s="3">
        <f t="shared" si="6"/>
        <v>22149.717833043385</v>
      </c>
      <c r="W37" s="3">
        <f t="shared" si="6"/>
        <v>22149.717833043385</v>
      </c>
      <c r="X37" s="3">
        <f t="shared" si="6"/>
        <v>22149.717833043385</v>
      </c>
      <c r="Y37" s="3">
        <f t="shared" si="6"/>
        <v>22149.717833043385</v>
      </c>
    </row>
    <row r="38" spans="1:25" x14ac:dyDescent="0.25">
      <c r="A38" s="42" t="s">
        <v>176</v>
      </c>
      <c r="E38" s="3">
        <f>+E37</f>
        <v>-144000</v>
      </c>
      <c r="F38" s="3">
        <f>+E38+F37</f>
        <v>-138164.23504947405</v>
      </c>
      <c r="G38" s="3">
        <f t="shared" ref="G38:Y38" si="7">+F38+G37</f>
        <v>-132458.7172508334</v>
      </c>
      <c r="H38" s="3">
        <f t="shared" si="7"/>
        <v>-126899.07626230431</v>
      </c>
      <c r="I38" s="3">
        <f t="shared" si="7"/>
        <v>-121502.81730110015</v>
      </c>
      <c r="J38" s="3">
        <f t="shared" si="7"/>
        <v>-116289.54621049992</v>
      </c>
      <c r="K38" s="3">
        <f t="shared" si="7"/>
        <v>-111281.2215349761</v>
      </c>
      <c r="L38" s="3">
        <f t="shared" si="7"/>
        <v>-106502.43684433783</v>
      </c>
      <c r="M38" s="3">
        <f t="shared" si="7"/>
        <v>-101980.73693677141</v>
      </c>
      <c r="N38" s="3">
        <f t="shared" si="7"/>
        <v>-79831.019103728031</v>
      </c>
      <c r="O38" s="3">
        <f t="shared" si="7"/>
        <v>-57681.301270684649</v>
      </c>
      <c r="P38" s="3">
        <f t="shared" si="7"/>
        <v>-35531.583437641268</v>
      </c>
      <c r="Q38" s="3">
        <f t="shared" si="7"/>
        <v>-13381.865604597882</v>
      </c>
      <c r="R38" s="3">
        <f t="shared" si="7"/>
        <v>8767.852228445503</v>
      </c>
      <c r="S38" s="3">
        <f t="shared" si="7"/>
        <v>30917.570061488888</v>
      </c>
      <c r="T38" s="3">
        <f t="shared" si="7"/>
        <v>53067.287894532274</v>
      </c>
      <c r="U38" s="3">
        <f t="shared" si="7"/>
        <v>75217.005727575655</v>
      </c>
      <c r="V38" s="3">
        <f t="shared" si="7"/>
        <v>97366.723560619037</v>
      </c>
      <c r="W38" s="3">
        <f t="shared" si="7"/>
        <v>119516.44139366242</v>
      </c>
      <c r="X38" s="3">
        <f t="shared" si="7"/>
        <v>141666.15922670581</v>
      </c>
      <c r="Y38" s="3">
        <f t="shared" si="7"/>
        <v>163815.87705974921</v>
      </c>
    </row>
    <row r="39" spans="1:25" x14ac:dyDescent="0.25">
      <c r="A39" s="16"/>
    </row>
    <row r="40" spans="1:25" x14ac:dyDescent="0.25">
      <c r="A40" s="42" t="s">
        <v>67</v>
      </c>
      <c r="E40" s="7">
        <f>+PomTab1!L25</f>
        <v>8.428819444444445E-2</v>
      </c>
    </row>
    <row r="41" spans="1:25" x14ac:dyDescent="0.25">
      <c r="A41" s="42" t="s">
        <v>177</v>
      </c>
      <c r="E41" s="3">
        <f>IF(E9&lt;&gt;"",E37*(1+$E$40)^-E9,"")</f>
        <v>-144000</v>
      </c>
      <c r="F41">
        <f>IF(F9&lt;&gt;"",F37*(1+$E$40)^-F9,"")</f>
        <v>5382.1161019981646</v>
      </c>
      <c r="G41">
        <f t="shared" ref="G41:Y41" si="8">IF(G9&lt;&gt;"",G37*(1+$E$40)^-G9,"")</f>
        <v>4852.9476441337001</v>
      </c>
      <c r="H41">
        <f t="shared" si="8"/>
        <v>4361.2658448964876</v>
      </c>
      <c r="I41">
        <f t="shared" si="8"/>
        <v>3904.036467850834</v>
      </c>
      <c r="J41">
        <f t="shared" si="8"/>
        <v>3478.4571878347788</v>
      </c>
      <c r="K41">
        <f t="shared" si="8"/>
        <v>3081.9394327514815</v>
      </c>
      <c r="L41">
        <f t="shared" si="8"/>
        <v>2712.0916326130314</v>
      </c>
      <c r="M41">
        <f t="shared" si="8"/>
        <v>2366.7037663011511</v>
      </c>
      <c r="N41">
        <f t="shared" si="8"/>
        <v>10692.164570120189</v>
      </c>
      <c r="O41">
        <f t="shared" si="8"/>
        <v>9860.9987869493707</v>
      </c>
      <c r="P41">
        <f t="shared" si="8"/>
        <v>9094.4444820796361</v>
      </c>
      <c r="Q41">
        <f t="shared" si="8"/>
        <v>8387.4790195786882</v>
      </c>
      <c r="R41">
        <f t="shared" si="8"/>
        <v>7735.4702029898726</v>
      </c>
      <c r="S41">
        <f t="shared" si="8"/>
        <v>7134.1459241408475</v>
      </c>
      <c r="T41">
        <f t="shared" si="8"/>
        <v>6579.5661713315631</v>
      </c>
      <c r="U41">
        <f t="shared" si="8"/>
        <v>6068.0972134928834</v>
      </c>
      <c r="V41">
        <f t="shared" si="8"/>
        <v>5596.3877911646796</v>
      </c>
      <c r="W41">
        <f t="shared" si="8"/>
        <v>5161.347158291338</v>
      </c>
      <c r="X41">
        <f t="shared" si="8"/>
        <v>4760.1248309595876</v>
      </c>
      <c r="Y41">
        <f t="shared" si="8"/>
        <v>4390.091910387835</v>
      </c>
    </row>
    <row r="42" spans="1:25" x14ac:dyDescent="0.25">
      <c r="A42" s="42" t="s">
        <v>178</v>
      </c>
      <c r="E42" s="3">
        <f>+E41</f>
        <v>-144000</v>
      </c>
      <c r="F42" s="3">
        <f>+E42+F41</f>
        <v>-138617.88389800183</v>
      </c>
      <c r="G42" s="3">
        <f t="shared" ref="G42:X42" si="9">+F42+G41</f>
        <v>-133764.93625386813</v>
      </c>
      <c r="H42" s="3">
        <f t="shared" si="9"/>
        <v>-129403.67040897164</v>
      </c>
      <c r="I42" s="3">
        <f t="shared" si="9"/>
        <v>-125499.6339411208</v>
      </c>
      <c r="J42" s="3">
        <f t="shared" si="9"/>
        <v>-122021.17675328602</v>
      </c>
      <c r="K42" s="3">
        <f t="shared" si="9"/>
        <v>-118939.23732053455</v>
      </c>
      <c r="L42" s="3">
        <f t="shared" si="9"/>
        <v>-116227.14568792153</v>
      </c>
      <c r="M42" s="3">
        <f t="shared" si="9"/>
        <v>-113860.44192162037</v>
      </c>
      <c r="N42" s="3">
        <f t="shared" si="9"/>
        <v>-103168.27735150018</v>
      </c>
      <c r="O42" s="3">
        <f t="shared" si="9"/>
        <v>-93307.278564550797</v>
      </c>
      <c r="P42" s="3">
        <f t="shared" si="9"/>
        <v>-84212.834082471163</v>
      </c>
      <c r="Q42" s="3">
        <f t="shared" si="9"/>
        <v>-75825.355062892471</v>
      </c>
      <c r="R42" s="3">
        <f t="shared" si="9"/>
        <v>-68089.884859902595</v>
      </c>
      <c r="S42" s="3">
        <f t="shared" si="9"/>
        <v>-60955.73893576175</v>
      </c>
      <c r="T42" s="3">
        <f t="shared" si="9"/>
        <v>-54376.172764430186</v>
      </c>
      <c r="U42" s="3">
        <f t="shared" si="9"/>
        <v>-48308.075550937305</v>
      </c>
      <c r="V42" s="3">
        <f t="shared" si="9"/>
        <v>-42711.687759772627</v>
      </c>
      <c r="W42" s="3">
        <f t="shared" si="9"/>
        <v>-37550.340601481286</v>
      </c>
      <c r="X42" s="3">
        <f t="shared" si="9"/>
        <v>-32790.215770521696</v>
      </c>
    </row>
    <row r="43" spans="1:25" x14ac:dyDescent="0.25">
      <c r="A43" s="42"/>
    </row>
    <row r="44" spans="1:25" x14ac:dyDescent="0.25">
      <c r="A44" s="43" t="s">
        <v>179</v>
      </c>
      <c r="B44" s="40"/>
      <c r="C44" s="40"/>
      <c r="D44" s="40"/>
      <c r="E44" s="44">
        <f>+NPV(E40,E37:Y37)</f>
        <v>-26192.412686633728</v>
      </c>
      <c r="F44" s="45"/>
    </row>
    <row r="45" spans="1:25" x14ac:dyDescent="0.25">
      <c r="A45" s="43" t="s">
        <v>180</v>
      </c>
      <c r="B45" s="40"/>
      <c r="C45" s="40"/>
      <c r="D45" s="40"/>
      <c r="E45" s="46">
        <f>+IRR(E37:Y37,10%)</f>
        <v>6.3414607587773286E-2</v>
      </c>
      <c r="F45" s="40"/>
    </row>
    <row r="46" spans="1:25" x14ac:dyDescent="0.25">
      <c r="A46" s="43" t="s">
        <v>181</v>
      </c>
      <c r="B46" s="40"/>
      <c r="C46" s="40"/>
      <c r="D46" s="40"/>
      <c r="E46" s="44" cm="1">
        <f t="array" ref="E46">+NPV(E40,F20:Y20/-NPV(E40,E31:Y31))</f>
        <v>0.98537892699724572</v>
      </c>
      <c r="F46" s="40"/>
    </row>
    <row r="47" spans="1:25" x14ac:dyDescent="0.25">
      <c r="A47" s="43" t="s">
        <v>182</v>
      </c>
      <c r="B47" s="40"/>
      <c r="C47" s="40"/>
      <c r="D47" s="40"/>
      <c r="E47" s="55" cm="1">
        <f t="array" ref="E47">+LOOKUP(INDEX(E38:Y38,MATCH(TRUE,E38:Y38&gt;0,0)),E38:Y38,E9:Y9)</f>
        <v>13</v>
      </c>
      <c r="F47" s="40" t="s">
        <v>184</v>
      </c>
    </row>
    <row r="48" spans="1:25" x14ac:dyDescent="0.25">
      <c r="A48" s="43" t="s">
        <v>183</v>
      </c>
      <c r="B48" s="40"/>
      <c r="C48" s="40"/>
      <c r="D48" s="40"/>
      <c r="E48" s="44" t="e" cm="1">
        <f t="array" ref="E48">+LOOKUP(INDEX(E42:Y42,MATCH(TRUE,E42:Y42&gt;0,0)),E42:Y42,E9:Y9)</f>
        <v>#N/A</v>
      </c>
      <c r="F48" s="40" t="s">
        <v>184</v>
      </c>
    </row>
    <row r="51" spans="1:26" x14ac:dyDescent="0.25">
      <c r="A51" s="63" t="s">
        <v>167</v>
      </c>
      <c r="B51" s="63"/>
      <c r="C51" s="63"/>
      <c r="D51" s="63"/>
      <c r="E51" s="3">
        <f>-SUM(E11:E13)</f>
        <v>-144000</v>
      </c>
      <c r="F51" s="3">
        <f t="shared" ref="F51:Y51" si="10">IF(F9&lt;&gt;"",F29,"")</f>
        <v>-25835.952882517424</v>
      </c>
      <c r="G51" s="3">
        <f t="shared" si="10"/>
        <v>-25835.952882517424</v>
      </c>
      <c r="H51" s="3">
        <f t="shared" si="10"/>
        <v>-25835.952882517424</v>
      </c>
      <c r="I51" s="3">
        <f t="shared" si="10"/>
        <v>-25835.952882517424</v>
      </c>
      <c r="J51" s="3">
        <f t="shared" si="10"/>
        <v>-25835.952882517424</v>
      </c>
      <c r="K51" s="3">
        <f t="shared" si="10"/>
        <v>-25835.952882517424</v>
      </c>
      <c r="L51" s="3">
        <f t="shared" si="10"/>
        <v>-25835.952882517424</v>
      </c>
      <c r="M51" s="3">
        <f t="shared" si="10"/>
        <v>-25835.952882517424</v>
      </c>
      <c r="N51" s="3">
        <f t="shared" si="10"/>
        <v>-7920</v>
      </c>
      <c r="O51" s="3">
        <f t="shared" si="10"/>
        <v>-7920</v>
      </c>
      <c r="P51" s="3">
        <f t="shared" si="10"/>
        <v>-7920</v>
      </c>
      <c r="Q51" s="3">
        <f t="shared" si="10"/>
        <v>-7920</v>
      </c>
      <c r="R51" s="3">
        <f t="shared" si="10"/>
        <v>-7920</v>
      </c>
      <c r="S51" s="3">
        <f t="shared" si="10"/>
        <v>-7920</v>
      </c>
      <c r="T51" s="3">
        <f t="shared" si="10"/>
        <v>-7920</v>
      </c>
      <c r="U51" s="3">
        <f t="shared" si="10"/>
        <v>-7920</v>
      </c>
      <c r="V51" s="3">
        <f t="shared" si="10"/>
        <v>-7920</v>
      </c>
      <c r="W51" s="3">
        <f t="shared" si="10"/>
        <v>-7920</v>
      </c>
      <c r="X51" s="3">
        <f t="shared" si="10"/>
        <v>-7920</v>
      </c>
      <c r="Y51" s="3">
        <f t="shared" si="10"/>
        <v>-7920</v>
      </c>
      <c r="Z51" s="3"/>
    </row>
    <row r="52" spans="1:26" x14ac:dyDescent="0.25">
      <c r="A52" s="63" t="s">
        <v>168</v>
      </c>
      <c r="B52" s="63"/>
      <c r="C52" s="63"/>
      <c r="D52" s="63"/>
      <c r="E52" s="3">
        <f>IF(E9&lt;&gt;"",E51*(1+$E$40)^-E9,"")</f>
        <v>-144000</v>
      </c>
      <c r="F52" s="3">
        <f>IF(F9&lt;&gt;"",F51*(1+$E$40)^-F9,"")</f>
        <v>-23827.570026947462</v>
      </c>
      <c r="G52" s="3">
        <f t="shared" ref="G52:Y52" si="11">IF(G9&lt;&gt;"",G51*(1+$E$40)^-G9,"")</f>
        <v>-21975.310760582397</v>
      </c>
      <c r="H52" s="3">
        <f t="shared" si="11"/>
        <v>-20267.038664791387</v>
      </c>
      <c r="I52" s="3">
        <f t="shared" si="11"/>
        <v>-18691.560757216936</v>
      </c>
      <c r="J52" s="3">
        <f t="shared" si="11"/>
        <v>-17238.554152841174</v>
      </c>
      <c r="K52" s="3">
        <f t="shared" si="11"/>
        <v>-15898.498426125236</v>
      </c>
      <c r="L52" s="3">
        <f t="shared" si="11"/>
        <v>-14662.613231043366</v>
      </c>
      <c r="M52" s="3">
        <f t="shared" si="11"/>
        <v>-13522.800770284171</v>
      </c>
      <c r="N52" s="3">
        <f t="shared" si="11"/>
        <v>-3823.1612715635456</v>
      </c>
      <c r="O52" s="3">
        <f t="shared" si="11"/>
        <v>-3525.9641220408334</v>
      </c>
      <c r="P52" s="3">
        <f t="shared" si="11"/>
        <v>-3251.8698811872864</v>
      </c>
      <c r="Q52" s="3">
        <f t="shared" si="11"/>
        <v>-2999.0826219900359</v>
      </c>
      <c r="R52" s="3">
        <f t="shared" si="11"/>
        <v>-2765.9460255644235</v>
      </c>
      <c r="S52" s="3">
        <f t="shared" si="11"/>
        <v>-2550.9325285807508</v>
      </c>
      <c r="T52" s="3">
        <f t="shared" si="11"/>
        <v>-2352.6333143263346</v>
      </c>
      <c r="U52" s="3">
        <f t="shared" si="11"/>
        <v>-2169.7490818220622</v>
      </c>
      <c r="V52" s="3">
        <f t="shared" si="11"/>
        <v>-2001.0815325106198</v>
      </c>
      <c r="W52" s="3">
        <f t="shared" si="11"/>
        <v>-1845.5255187352766</v>
      </c>
      <c r="X52" s="3">
        <f t="shared" si="11"/>
        <v>-1702.0618025642771</v>
      </c>
      <c r="Y52" s="3">
        <f t="shared" si="11"/>
        <v>-1569.7503775150483</v>
      </c>
      <c r="Z52" s="3"/>
    </row>
    <row r="53" spans="1:26" x14ac:dyDescent="0.25">
      <c r="A53" s="63" t="s">
        <v>169</v>
      </c>
      <c r="B53" s="63"/>
      <c r="C53" s="63"/>
      <c r="D53" s="63"/>
      <c r="E53" s="3">
        <f>+E52</f>
        <v>-144000</v>
      </c>
      <c r="F53" s="3">
        <f>+E53+F52</f>
        <v>-167827.57002694748</v>
      </c>
      <c r="G53" s="3">
        <f t="shared" ref="G53:Y53" si="12">+F53+G52</f>
        <v>-189802.88078752987</v>
      </c>
      <c r="H53" s="3">
        <f t="shared" si="12"/>
        <v>-210069.91945232125</v>
      </c>
      <c r="I53" s="3">
        <f t="shared" si="12"/>
        <v>-228761.48020953819</v>
      </c>
      <c r="J53" s="3">
        <f t="shared" si="12"/>
        <v>-246000.03436237937</v>
      </c>
      <c r="K53" s="3">
        <f t="shared" si="12"/>
        <v>-261898.53278850461</v>
      </c>
      <c r="L53" s="3">
        <f t="shared" si="12"/>
        <v>-276561.146019548</v>
      </c>
      <c r="M53" s="3">
        <f t="shared" si="12"/>
        <v>-290083.9467898322</v>
      </c>
      <c r="N53" s="3">
        <f t="shared" si="12"/>
        <v>-293907.10806139576</v>
      </c>
      <c r="O53" s="3">
        <f t="shared" si="12"/>
        <v>-297433.0721834366</v>
      </c>
      <c r="P53" s="3">
        <f t="shared" si="12"/>
        <v>-300684.94206462387</v>
      </c>
      <c r="Q53" s="3">
        <f t="shared" si="12"/>
        <v>-303684.02468661394</v>
      </c>
      <c r="R53" s="3">
        <f t="shared" si="12"/>
        <v>-306449.97071217839</v>
      </c>
      <c r="S53" s="3">
        <f t="shared" si="12"/>
        <v>-309000.90324075916</v>
      </c>
      <c r="T53" s="3">
        <f t="shared" si="12"/>
        <v>-311353.53655508551</v>
      </c>
      <c r="U53" s="3">
        <f t="shared" si="12"/>
        <v>-313523.28563690756</v>
      </c>
      <c r="V53" s="3">
        <f t="shared" si="12"/>
        <v>-315524.3671694182</v>
      </c>
      <c r="W53" s="3">
        <f t="shared" si="12"/>
        <v>-317369.89268815349</v>
      </c>
      <c r="X53" s="3">
        <f t="shared" si="12"/>
        <v>-319071.95449071779</v>
      </c>
      <c r="Y53" s="3">
        <f t="shared" si="12"/>
        <v>-320641.70486823283</v>
      </c>
    </row>
    <row r="54" spans="1:26" x14ac:dyDescent="0.25">
      <c r="A54" s="63" t="s">
        <v>170</v>
      </c>
      <c r="B54" s="63"/>
      <c r="C54" s="63"/>
      <c r="D54" s="63"/>
      <c r="F54" s="3">
        <f t="shared" ref="F54:Y54" si="13">IF(F9&lt;&gt;"",F20,"")</f>
        <v>29743.197450639276</v>
      </c>
      <c r="G54" s="3">
        <f t="shared" si="13"/>
        <v>29743.197450639276</v>
      </c>
      <c r="H54" s="3">
        <f t="shared" si="13"/>
        <v>29743.197450639276</v>
      </c>
      <c r="I54" s="3">
        <f t="shared" si="13"/>
        <v>29743.197450639276</v>
      </c>
      <c r="J54" s="3">
        <f t="shared" si="13"/>
        <v>29743.197450639276</v>
      </c>
      <c r="K54" s="3">
        <f t="shared" si="13"/>
        <v>29743.197450639276</v>
      </c>
      <c r="L54" s="3">
        <f t="shared" si="13"/>
        <v>29743.197450639276</v>
      </c>
      <c r="M54" s="3">
        <f t="shared" si="13"/>
        <v>29743.197450639276</v>
      </c>
      <c r="N54" s="3">
        <f t="shared" si="13"/>
        <v>29743.197450639276</v>
      </c>
      <c r="O54" s="3">
        <f t="shared" si="13"/>
        <v>29743.197450639276</v>
      </c>
      <c r="P54" s="3">
        <f t="shared" si="13"/>
        <v>29743.197450639276</v>
      </c>
      <c r="Q54" s="3">
        <f t="shared" si="13"/>
        <v>29743.197450639276</v>
      </c>
      <c r="R54" s="3">
        <f t="shared" si="13"/>
        <v>29743.197450639276</v>
      </c>
      <c r="S54" s="3">
        <f t="shared" si="13"/>
        <v>29743.197450639276</v>
      </c>
      <c r="T54" s="3">
        <f t="shared" si="13"/>
        <v>29743.197450639276</v>
      </c>
      <c r="U54" s="3">
        <f t="shared" si="13"/>
        <v>29743.197450639276</v>
      </c>
      <c r="V54" s="3">
        <f t="shared" si="13"/>
        <v>29743.197450639276</v>
      </c>
      <c r="W54" s="3">
        <f t="shared" si="13"/>
        <v>29743.197450639276</v>
      </c>
      <c r="X54" s="3">
        <f t="shared" si="13"/>
        <v>29743.197450639276</v>
      </c>
      <c r="Y54" s="3">
        <f t="shared" si="13"/>
        <v>29743.197450639276</v>
      </c>
    </row>
    <row r="55" spans="1:26" x14ac:dyDescent="0.25">
      <c r="A55" s="63" t="s">
        <v>171</v>
      </c>
      <c r="B55" s="63"/>
      <c r="C55" s="63"/>
      <c r="D55" s="63"/>
      <c r="F55" s="3">
        <f>IF(F9&lt;&gt;"",F54*(1+$E$40)^-F9,"")</f>
        <v>27431.081148936391</v>
      </c>
      <c r="G55" s="3">
        <f t="shared" ref="G55:Y55" si="14">IF(G9&lt;&gt;"",G54*(1+$E$40)^-G9,"")</f>
        <v>25298.699450464112</v>
      </c>
      <c r="H55" s="3">
        <f t="shared" si="14"/>
        <v>23332.080511516015</v>
      </c>
      <c r="I55" s="3">
        <f t="shared" si="14"/>
        <v>21518.338603207467</v>
      </c>
      <c r="J55" s="3">
        <f t="shared" si="14"/>
        <v>19845.589681286529</v>
      </c>
      <c r="K55" s="3">
        <f t="shared" si="14"/>
        <v>18302.873519207493</v>
      </c>
      <c r="L55" s="3">
        <f t="shared" si="14"/>
        <v>16880.081894265495</v>
      </c>
      <c r="M55" s="3">
        <f t="shared" si="14"/>
        <v>15567.892356251583</v>
      </c>
      <c r="N55" s="3">
        <f t="shared" si="14"/>
        <v>14357.707144665615</v>
      </c>
      <c r="O55" s="3">
        <f t="shared" si="14"/>
        <v>13241.596854258898</v>
      </c>
      <c r="P55" s="3">
        <f t="shared" si="14"/>
        <v>12212.248479790447</v>
      </c>
      <c r="Q55" s="3">
        <f t="shared" si="14"/>
        <v>11262.917499574571</v>
      </c>
      <c r="R55" s="3">
        <f t="shared" si="14"/>
        <v>10387.383683860304</v>
      </c>
      <c r="S55" s="3">
        <f t="shared" si="14"/>
        <v>9579.9103384893679</v>
      </c>
      <c r="T55" s="3">
        <f t="shared" si="14"/>
        <v>8835.2067167878868</v>
      </c>
      <c r="U55" s="3">
        <f t="shared" si="14"/>
        <v>8148.3933534061698</v>
      </c>
      <c r="V55" s="3">
        <f t="shared" si="14"/>
        <v>7514.9700929660603</v>
      </c>
      <c r="W55" s="3">
        <f t="shared" si="14"/>
        <v>6930.7866040324252</v>
      </c>
      <c r="X55" s="3">
        <f t="shared" si="14"/>
        <v>6392.0151852096333</v>
      </c>
      <c r="Y55" s="3">
        <f t="shared" si="14"/>
        <v>5895.1256851825283</v>
      </c>
    </row>
    <row r="56" spans="1:26" x14ac:dyDescent="0.25">
      <c r="A56" s="63" t="s">
        <v>172</v>
      </c>
      <c r="B56" s="63"/>
      <c r="C56" s="63"/>
      <c r="D56" s="63"/>
      <c r="F56" s="3">
        <f t="shared" ref="F56:Y56" si="15">IF(F9&lt;&gt;"",E56+F55,"")</f>
        <v>27431.081148936391</v>
      </c>
      <c r="G56" s="3">
        <f t="shared" si="15"/>
        <v>52729.780599400503</v>
      </c>
      <c r="H56" s="3">
        <f t="shared" si="15"/>
        <v>76061.861110916521</v>
      </c>
      <c r="I56" s="3">
        <f t="shared" si="15"/>
        <v>97580.199714123984</v>
      </c>
      <c r="J56" s="3">
        <f t="shared" si="15"/>
        <v>117425.78939541051</v>
      </c>
      <c r="K56" s="3">
        <f t="shared" si="15"/>
        <v>135728.66291461801</v>
      </c>
      <c r="L56" s="3">
        <f t="shared" si="15"/>
        <v>152608.74480888349</v>
      </c>
      <c r="M56" s="3">
        <f t="shared" si="15"/>
        <v>168176.63716513506</v>
      </c>
      <c r="N56" s="3">
        <f t="shared" si="15"/>
        <v>182534.34430980068</v>
      </c>
      <c r="O56" s="3">
        <f t="shared" si="15"/>
        <v>195775.94116405959</v>
      </c>
      <c r="P56" s="3">
        <f t="shared" si="15"/>
        <v>207988.18964385003</v>
      </c>
      <c r="Q56" s="3">
        <f t="shared" si="15"/>
        <v>219251.1071434246</v>
      </c>
      <c r="R56" s="3">
        <f t="shared" si="15"/>
        <v>229638.4908272849</v>
      </c>
      <c r="S56" s="3">
        <f t="shared" si="15"/>
        <v>239218.40116577427</v>
      </c>
      <c r="T56" s="3">
        <f t="shared" si="15"/>
        <v>248053.60788256215</v>
      </c>
      <c r="U56" s="3">
        <f t="shared" si="15"/>
        <v>256202.00123596832</v>
      </c>
      <c r="V56" s="3">
        <f t="shared" si="15"/>
        <v>263716.97132893436</v>
      </c>
      <c r="W56" s="3">
        <f t="shared" si="15"/>
        <v>270647.75793296681</v>
      </c>
      <c r="X56" s="3">
        <f t="shared" si="15"/>
        <v>277039.77311817644</v>
      </c>
      <c r="Y56" s="3">
        <f t="shared" si="15"/>
        <v>282934.89880335896</v>
      </c>
    </row>
    <row r="57" spans="1:26" x14ac:dyDescent="0.25">
      <c r="A57" s="63" t="s">
        <v>173</v>
      </c>
      <c r="B57" s="63"/>
      <c r="C57" s="63"/>
      <c r="D57" s="63"/>
      <c r="F57" s="3">
        <f t="shared" ref="F57:Y57" si="16">IF(F9&lt;&gt;"",F56+F53,"")</f>
        <v>-140396.48887801109</v>
      </c>
      <c r="G57" s="3">
        <f t="shared" si="16"/>
        <v>-137073.10018812935</v>
      </c>
      <c r="H57" s="3">
        <f t="shared" si="16"/>
        <v>-134008.05834140471</v>
      </c>
      <c r="I57" s="3">
        <f t="shared" si="16"/>
        <v>-131181.28049541422</v>
      </c>
      <c r="J57" s="3">
        <f t="shared" si="16"/>
        <v>-128574.24496696886</v>
      </c>
      <c r="K57" s="3">
        <f t="shared" si="16"/>
        <v>-126169.86987388661</v>
      </c>
      <c r="L57" s="3">
        <f t="shared" si="16"/>
        <v>-123952.40121066451</v>
      </c>
      <c r="M57" s="3">
        <f t="shared" si="16"/>
        <v>-121907.30962469714</v>
      </c>
      <c r="N57" s="3">
        <f t="shared" si="16"/>
        <v>-111372.76375159508</v>
      </c>
      <c r="O57" s="3">
        <f t="shared" si="16"/>
        <v>-101657.131019377</v>
      </c>
      <c r="P57" s="3">
        <f t="shared" si="16"/>
        <v>-92696.752420773846</v>
      </c>
      <c r="Q57" s="3">
        <f t="shared" si="16"/>
        <v>-84432.917543189338</v>
      </c>
      <c r="R57" s="3">
        <f t="shared" si="16"/>
        <v>-76811.479884893488</v>
      </c>
      <c r="S57" s="3">
        <f t="shared" si="16"/>
        <v>-69782.502074984892</v>
      </c>
      <c r="T57" s="3">
        <f t="shared" si="16"/>
        <v>-63299.928672523354</v>
      </c>
      <c r="U57" s="3">
        <f t="shared" si="16"/>
        <v>-57321.284400939243</v>
      </c>
      <c r="V57" s="3">
        <f t="shared" si="16"/>
        <v>-51807.395840483834</v>
      </c>
      <c r="W57" s="3">
        <f t="shared" si="16"/>
        <v>-46722.134755186678</v>
      </c>
      <c r="X57" s="3">
        <f t="shared" si="16"/>
        <v>-42032.181372541352</v>
      </c>
      <c r="Y57" s="3">
        <f t="shared" si="16"/>
        <v>-37706.806064873876</v>
      </c>
    </row>
    <row r="58" spans="1:26" x14ac:dyDescent="0.25">
      <c r="A58" s="41" t="s">
        <v>174</v>
      </c>
      <c r="B58" s="41"/>
      <c r="C58" s="41"/>
      <c r="D58" s="41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</row>
    <row r="60" spans="1:26" x14ac:dyDescent="0.25">
      <c r="A60" s="63" t="s">
        <v>123</v>
      </c>
      <c r="B60" s="63"/>
      <c r="C60" s="63"/>
      <c r="D60" s="63"/>
      <c r="E60" s="3">
        <f t="shared" ref="E60:Y60" si="17">IF(E9="",D60,-E53)</f>
        <v>144000</v>
      </c>
      <c r="F60" s="3">
        <f t="shared" si="17"/>
        <v>167827.57002694748</v>
      </c>
      <c r="G60" s="3">
        <f t="shared" si="17"/>
        <v>189802.88078752987</v>
      </c>
      <c r="H60" s="3">
        <f t="shared" si="17"/>
        <v>210069.91945232125</v>
      </c>
      <c r="I60" s="3">
        <f t="shared" si="17"/>
        <v>228761.48020953819</v>
      </c>
      <c r="J60" s="3">
        <f t="shared" si="17"/>
        <v>246000.03436237937</v>
      </c>
      <c r="K60" s="3">
        <f t="shared" si="17"/>
        <v>261898.53278850461</v>
      </c>
      <c r="L60" s="3">
        <f t="shared" si="17"/>
        <v>276561.146019548</v>
      </c>
      <c r="M60" s="3">
        <f t="shared" si="17"/>
        <v>290083.9467898322</v>
      </c>
      <c r="N60" s="3">
        <f t="shared" si="17"/>
        <v>293907.10806139576</v>
      </c>
      <c r="O60" s="3">
        <f t="shared" si="17"/>
        <v>297433.0721834366</v>
      </c>
      <c r="P60" s="3">
        <f t="shared" si="17"/>
        <v>300684.94206462387</v>
      </c>
      <c r="Q60" s="3">
        <f t="shared" si="17"/>
        <v>303684.02468661394</v>
      </c>
      <c r="R60" s="3">
        <f t="shared" si="17"/>
        <v>306449.97071217839</v>
      </c>
      <c r="S60" s="3">
        <f t="shared" si="17"/>
        <v>309000.90324075916</v>
      </c>
      <c r="T60" s="3">
        <f t="shared" si="17"/>
        <v>311353.53655508551</v>
      </c>
      <c r="U60" s="3">
        <f t="shared" si="17"/>
        <v>313523.28563690756</v>
      </c>
      <c r="V60" s="3">
        <f t="shared" si="17"/>
        <v>315524.3671694182</v>
      </c>
      <c r="W60" s="3">
        <f t="shared" si="17"/>
        <v>317369.89268815349</v>
      </c>
      <c r="X60" s="3">
        <f t="shared" si="17"/>
        <v>319071.95449071779</v>
      </c>
      <c r="Y60" s="3">
        <f t="shared" si="17"/>
        <v>320641.70486823283</v>
      </c>
    </row>
    <row r="61" spans="1:26" x14ac:dyDescent="0.25">
      <c r="A61" s="63" t="s">
        <v>124</v>
      </c>
      <c r="B61" s="63"/>
      <c r="C61" s="63"/>
      <c r="D61" s="63"/>
      <c r="F61" s="3">
        <f t="shared" ref="F61:Y61" si="18">IF(F9="",E61,F56)</f>
        <v>27431.081148936391</v>
      </c>
      <c r="G61" s="3">
        <f t="shared" si="18"/>
        <v>52729.780599400503</v>
      </c>
      <c r="H61" s="3">
        <f t="shared" si="18"/>
        <v>76061.861110916521</v>
      </c>
      <c r="I61" s="3">
        <f t="shared" si="18"/>
        <v>97580.199714123984</v>
      </c>
      <c r="J61" s="3">
        <f t="shared" si="18"/>
        <v>117425.78939541051</v>
      </c>
      <c r="K61" s="3">
        <f t="shared" si="18"/>
        <v>135728.66291461801</v>
      </c>
      <c r="L61" s="3">
        <f t="shared" si="18"/>
        <v>152608.74480888349</v>
      </c>
      <c r="M61" s="3">
        <f t="shared" si="18"/>
        <v>168176.63716513506</v>
      </c>
      <c r="N61" s="3">
        <f t="shared" si="18"/>
        <v>182534.34430980068</v>
      </c>
      <c r="O61" s="3">
        <f t="shared" si="18"/>
        <v>195775.94116405959</v>
      </c>
      <c r="P61" s="3">
        <f t="shared" si="18"/>
        <v>207988.18964385003</v>
      </c>
      <c r="Q61" s="3">
        <f t="shared" si="18"/>
        <v>219251.1071434246</v>
      </c>
      <c r="R61" s="3">
        <f t="shared" si="18"/>
        <v>229638.4908272849</v>
      </c>
      <c r="S61" s="3">
        <f t="shared" si="18"/>
        <v>239218.40116577427</v>
      </c>
      <c r="T61" s="3">
        <f t="shared" si="18"/>
        <v>248053.60788256215</v>
      </c>
      <c r="U61" s="3">
        <f t="shared" si="18"/>
        <v>256202.00123596832</v>
      </c>
      <c r="V61" s="3">
        <f t="shared" si="18"/>
        <v>263716.97132893436</v>
      </c>
      <c r="W61" s="3">
        <f t="shared" si="18"/>
        <v>270647.75793296681</v>
      </c>
      <c r="X61" s="3">
        <f t="shared" si="18"/>
        <v>277039.77311817644</v>
      </c>
      <c r="Y61" s="3">
        <f t="shared" si="18"/>
        <v>282934.89880335896</v>
      </c>
    </row>
  </sheetData>
  <sheetProtection selectLockedCells="1"/>
  <mergeCells count="35">
    <mergeCell ref="A56:D56"/>
    <mergeCell ref="A57:D57"/>
    <mergeCell ref="A60:D60"/>
    <mergeCell ref="A61:D61"/>
    <mergeCell ref="A19:D19"/>
    <mergeCell ref="A35:D35"/>
    <mergeCell ref="A51:D51"/>
    <mergeCell ref="A52:D52"/>
    <mergeCell ref="A53:D53"/>
    <mergeCell ref="A54:D54"/>
    <mergeCell ref="A55:D55"/>
    <mergeCell ref="A27:D27"/>
    <mergeCell ref="A28:D28"/>
    <mergeCell ref="A29:D29"/>
    <mergeCell ref="A32:D32"/>
    <mergeCell ref="A33:D33"/>
    <mergeCell ref="A34:D34"/>
    <mergeCell ref="A20:D20"/>
    <mergeCell ref="A21:D21"/>
    <mergeCell ref="A22:D22"/>
    <mergeCell ref="A23:D23"/>
    <mergeCell ref="A25:D25"/>
    <mergeCell ref="A26:D26"/>
    <mergeCell ref="A18:D18"/>
    <mergeCell ref="F3:I3"/>
    <mergeCell ref="A7:D7"/>
    <mergeCell ref="I7:J7"/>
    <mergeCell ref="N7:O7"/>
    <mergeCell ref="A9:D9"/>
    <mergeCell ref="A11:D11"/>
    <mergeCell ref="A12:D12"/>
    <mergeCell ref="A13:D13"/>
    <mergeCell ref="A14:D14"/>
    <mergeCell ref="A15:D15"/>
    <mergeCell ref="A17:D17"/>
  </mergeCells>
  <dataValidations disablePrompts="1" count="2">
    <dataValidation allowBlank="1" showInputMessage="1" showErrorMessage="1" promptTitle="CashFlow" prompt="Ne obuhvata amortizaciju, ali obuhvata otplatu glavnice." sqref="A37" xr:uid="{13BE3A45-B294-44A4-AC1B-3669C4FEAFA5}"/>
    <dataValidation allowBlank="1" showInputMessage="1" showErrorMessage="1" promptTitle="BrutoDobit" prompt="Bruto dobit prema Bilansu uspeha, ne obuhvata otplatu glavice." sqref="A32:D32" xr:uid="{4FD35DB7-2EEF-479E-8D7F-A4B09F041407}"/>
  </dataValidations>
  <hyperlinks>
    <hyperlink ref="I7:J7" location="Anuiteti!I4" display="NAZAD" xr:uid="{CDDD93A7-137F-4063-A169-CF1EC342D69C}"/>
    <hyperlink ref="N7:O7" location="EconIndicators!A1" display="DALJE" xr:uid="{555BBA3C-1FFA-43E9-BA12-8057CCADA5FB}"/>
  </hyperlink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3:I12"/>
  <sheetViews>
    <sheetView workbookViewId="0">
      <selection activeCell="L30" sqref="L30"/>
    </sheetView>
  </sheetViews>
  <sheetFormatPr defaultRowHeight="15" x14ac:dyDescent="0.25"/>
  <sheetData>
    <row r="3" spans="1:9" ht="16.5" x14ac:dyDescent="0.35">
      <c r="F3" s="56" t="s">
        <v>158</v>
      </c>
      <c r="G3" s="56"/>
      <c r="H3" s="56"/>
      <c r="I3" s="56"/>
    </row>
    <row r="7" spans="1:9" ht="15" customHeight="1" x14ac:dyDescent="0.25">
      <c r="A7" s="58" t="s">
        <v>128</v>
      </c>
      <c r="B7" s="58"/>
      <c r="C7" s="58"/>
      <c r="D7" s="58"/>
    </row>
    <row r="8" spans="1:9" ht="15" customHeight="1" x14ac:dyDescent="0.25">
      <c r="A8" s="58"/>
      <c r="B8" s="58"/>
      <c r="C8" s="58"/>
      <c r="D8" s="58"/>
    </row>
    <row r="9" spans="1:9" x14ac:dyDescent="0.25">
      <c r="A9" s="58"/>
      <c r="B9" s="58"/>
      <c r="C9" s="58"/>
      <c r="D9" s="58"/>
    </row>
    <row r="11" spans="1:9" x14ac:dyDescent="0.25">
      <c r="A11" s="60" t="s">
        <v>138</v>
      </c>
      <c r="B11" s="60"/>
      <c r="C11" s="61" t="s">
        <v>139</v>
      </c>
      <c r="D11" s="61"/>
    </row>
    <row r="12" spans="1:9" x14ac:dyDescent="0.25">
      <c r="A12" s="60"/>
      <c r="B12" s="60"/>
      <c r="C12" s="61"/>
      <c r="D12" s="61"/>
    </row>
  </sheetData>
  <sheetProtection selectLockedCells="1" selectUnlockedCells="1"/>
  <mergeCells count="4">
    <mergeCell ref="A7:D9"/>
    <mergeCell ref="A11:B12"/>
    <mergeCell ref="C11:D12"/>
    <mergeCell ref="F3:I3"/>
  </mergeCells>
  <hyperlinks>
    <hyperlink ref="A11:B12" location="EconIndicators!I1" display="NAZAD" xr:uid="{00000000-0004-0000-0700-000000000000}"/>
    <hyperlink ref="C11:D12" location="GraphEcon!A1" display="DALJE" xr:uid="{00000000-0004-0000-0700-000001000000}"/>
  </hyperlink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3:I12"/>
  <sheetViews>
    <sheetView workbookViewId="0">
      <selection activeCell="D26" sqref="D26"/>
    </sheetView>
  </sheetViews>
  <sheetFormatPr defaultRowHeight="15" x14ac:dyDescent="0.25"/>
  <sheetData>
    <row r="3" spans="1:9" ht="16.5" x14ac:dyDescent="0.35">
      <c r="F3" s="56" t="s">
        <v>158</v>
      </c>
      <c r="G3" s="56"/>
      <c r="H3" s="56"/>
      <c r="I3" s="56"/>
    </row>
    <row r="7" spans="1:9" ht="15" customHeight="1" x14ac:dyDescent="0.25">
      <c r="A7" s="58" t="s">
        <v>129</v>
      </c>
      <c r="B7" s="58"/>
      <c r="C7" s="58"/>
      <c r="D7" s="58"/>
    </row>
    <row r="8" spans="1:9" ht="15" customHeight="1" x14ac:dyDescent="0.25">
      <c r="A8" s="58"/>
      <c r="B8" s="58"/>
      <c r="C8" s="58"/>
      <c r="D8" s="58"/>
    </row>
    <row r="9" spans="1:9" x14ac:dyDescent="0.25">
      <c r="A9" s="58"/>
      <c r="B9" s="58"/>
      <c r="C9" s="58"/>
      <c r="D9" s="58"/>
    </row>
    <row r="11" spans="1:9" x14ac:dyDescent="0.25">
      <c r="A11" s="60" t="s">
        <v>138</v>
      </c>
      <c r="B11" s="60"/>
      <c r="C11" s="61" t="s">
        <v>139</v>
      </c>
      <c r="D11" s="61"/>
    </row>
    <row r="12" spans="1:9" x14ac:dyDescent="0.25">
      <c r="A12" s="60"/>
      <c r="B12" s="60"/>
      <c r="C12" s="61"/>
      <c r="D12" s="61"/>
    </row>
  </sheetData>
  <sheetProtection selectLockedCells="1" selectUnlockedCells="1"/>
  <mergeCells count="4">
    <mergeCell ref="A7:D9"/>
    <mergeCell ref="A11:B12"/>
    <mergeCell ref="C11:D12"/>
    <mergeCell ref="F3:I3"/>
  </mergeCells>
  <hyperlinks>
    <hyperlink ref="A11:B12" location="GraphFina!A5" display="NAZAD" xr:uid="{00000000-0004-0000-0800-000000000000}"/>
    <hyperlink ref="C11:D12" location="LCoEE!A1" display="DALJE" xr:uid="{00000000-0004-0000-0800-000001000000}"/>
  </hyperlink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6</vt:i4>
      </vt:variant>
    </vt:vector>
  </HeadingPairs>
  <TitlesOfParts>
    <vt:vector size="20" baseType="lpstr">
      <vt:lpstr>Pocetna</vt:lpstr>
      <vt:lpstr>PomTab1</vt:lpstr>
      <vt:lpstr>UnosPodataka</vt:lpstr>
      <vt:lpstr>Ustede</vt:lpstr>
      <vt:lpstr>Anuiteti</vt:lpstr>
      <vt:lpstr>FinaIndicators</vt:lpstr>
      <vt:lpstr>FinInd+CO2</vt:lpstr>
      <vt:lpstr>GraphFina</vt:lpstr>
      <vt:lpstr>Graf+CO2</vt:lpstr>
      <vt:lpstr>LCoEE</vt:lpstr>
      <vt:lpstr>Osetljivost</vt:lpstr>
      <vt:lpstr>AkoESCO</vt:lpstr>
      <vt:lpstr>ESCOGrafFina</vt:lpstr>
      <vt:lpstr>REZIME</vt:lpstr>
      <vt:lpstr>CARBON</vt:lpstr>
      <vt:lpstr>Equity</vt:lpstr>
      <vt:lpstr>Investment</vt:lpstr>
      <vt:lpstr>LCoE</vt:lpstr>
      <vt:lpstr>LOAN</vt:lpstr>
      <vt:lpstr>PROJEKAT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Miroslav</cp:lastModifiedBy>
  <dcterms:created xsi:type="dcterms:W3CDTF">2022-05-19T14:49:19Z</dcterms:created>
  <dcterms:modified xsi:type="dcterms:W3CDTF">2023-07-11T08:42:23Z</dcterms:modified>
</cp:coreProperties>
</file>