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4" activeTab="14"/>
  </bookViews>
  <sheets>
    <sheet name="Pocetna" sheetId="1" r:id="rId1"/>
    <sheet name="KonvFaktor" sheetId="17" r:id="rId2"/>
    <sheet name="PomTab1" sheetId="4" r:id="rId3"/>
    <sheet name="UnosPodataka" sheetId="2" r:id="rId4"/>
    <sheet name="TroskoviEnergije" sheetId="5" r:id="rId5"/>
    <sheet name="Anuiteti" sheetId="6" r:id="rId6"/>
    <sheet name="FinaIndikatori" sheetId="7" r:id="rId7"/>
    <sheet name="FinInd+CO2" sheetId="9" r:id="rId8"/>
    <sheet name="Graf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definedNames>
    <definedName name="CARBON">TroskoviEnergije!$J$24</definedName>
    <definedName name="CERT">TroskoviEnergije!#REF!</definedName>
    <definedName name="CO2Tax">UnosPodataka!$M$13</definedName>
    <definedName name="ECONS">TroskoviEnergije!$J$17</definedName>
    <definedName name="EFFTPS">TroskoviEnergije!$J$19</definedName>
    <definedName name="EPOW" comment="Elektromotorni pogoni">TroskoviEnergije!$J$15</definedName>
    <definedName name="EPrice">TroskoviEnergije!$J$10</definedName>
    <definedName name="Equity">UnosPodataka!$F$30</definedName>
    <definedName name="eta">TroskoviEnergije!$J$12</definedName>
    <definedName name="etagrid">TroskoviEnergije!$J$13</definedName>
    <definedName name="FIRR">FinaIndikatori!$E$43</definedName>
    <definedName name="FNPV">FinaIndikatori!$E$42</definedName>
    <definedName name="HEAT">TroskoviEnergije!$J$9</definedName>
    <definedName name="HPCAP">TroskoviEnergije!$J$14</definedName>
    <definedName name="HPrice">TroskoviEnergije!$J$11</definedName>
    <definedName name="HRED">TroskoviEnergije!$J$20</definedName>
    <definedName name="InfRate" comment="Inflacija">0</definedName>
    <definedName name="Investment">UnosPodataka!$F$23</definedName>
    <definedName name="Kurs_EUR" comment="Obračunski kurs EUR na dan 11-4-2023">117.288</definedName>
    <definedName name="LCoEE">LCoEE!$E$19</definedName>
    <definedName name="Loan">UnosPodataka!$F$33</definedName>
    <definedName name="ModelF">TroskoviEnergije!$I$18</definedName>
    <definedName name="Money">TroskoviEnergije!$J$21</definedName>
    <definedName name="PDV" comment="Porez na dodatu vrednost (opšti)">0.2</definedName>
    <definedName name="PROJEKAT">Pocetna!$M$12</definedName>
    <definedName name="VAT" comment="Porez na poslovanje kompanije">0.15</definedName>
    <definedName name="WCONS">TroskoviEnergije!$J$19</definedName>
    <definedName name="WHOUR">TroskoviEnergije!$J$16</definedName>
    <definedName name="WPRICE">TroskoviEnergije!$J$20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C18" i="17" l="1"/>
  <c r="E17" i="17"/>
  <c r="E16" i="17"/>
  <c r="E15" i="17"/>
  <c r="E14" i="17"/>
  <c r="E13" i="17"/>
  <c r="E12" i="17"/>
  <c r="E18" i="17" l="1"/>
  <c r="E21" i="17" s="1"/>
  <c r="Q39" i="4" s="1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G21" i="7"/>
  <c r="F21" i="7"/>
  <c r="F23" i="2"/>
  <c r="F27" i="9" s="1"/>
  <c r="L23" i="4"/>
  <c r="L24" i="4"/>
  <c r="F25" i="7" l="1"/>
  <c r="K24" i="4" l="1"/>
  <c r="K22" i="4"/>
  <c r="E12" i="16"/>
  <c r="E9" i="16"/>
  <c r="E13" i="9" l="1"/>
  <c r="E13" i="7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M27" i="2" l="1"/>
  <c r="J21" i="5" l="1"/>
  <c r="E10" i="16" l="1"/>
  <c r="F12" i="12"/>
  <c r="F25" i="9"/>
  <c r="F23" i="7"/>
  <c r="F10" i="12"/>
  <c r="G10" i="12" s="1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G9" i="9"/>
  <c r="G25" i="9" l="1"/>
  <c r="G27" i="9"/>
  <c r="H9" i="9"/>
  <c r="G9" i="7"/>
  <c r="H25" i="9" l="1"/>
  <c r="H27" i="9"/>
  <c r="G23" i="7"/>
  <c r="G25" i="7"/>
  <c r="I9" i="9"/>
  <c r="H9" i="7"/>
  <c r="J9" i="5"/>
  <c r="J24" i="5" s="1"/>
  <c r="I25" i="9" l="1"/>
  <c r="I27" i="9"/>
  <c r="H23" i="7"/>
  <c r="H25" i="7"/>
  <c r="G16" i="12"/>
  <c r="K16" i="12"/>
  <c r="O16" i="12"/>
  <c r="S16" i="12"/>
  <c r="W16" i="12"/>
  <c r="M16" i="12"/>
  <c r="U16" i="12"/>
  <c r="J16" i="12"/>
  <c r="R16" i="12"/>
  <c r="F16" i="12"/>
  <c r="H16" i="12"/>
  <c r="L16" i="12"/>
  <c r="P16" i="12"/>
  <c r="T16" i="12"/>
  <c r="X16" i="12"/>
  <c r="F18" i="9"/>
  <c r="I16" i="12"/>
  <c r="Q16" i="12"/>
  <c r="Y16" i="12"/>
  <c r="N16" i="12"/>
  <c r="V16" i="12"/>
  <c r="J9" i="9"/>
  <c r="I9" i="7"/>
  <c r="J25" i="9" l="1"/>
  <c r="J27" i="9"/>
  <c r="I23" i="7"/>
  <c r="I25" i="7"/>
  <c r="J14" i="9"/>
  <c r="J17" i="9"/>
  <c r="K9" i="9"/>
  <c r="J9" i="7"/>
  <c r="I16" i="7"/>
  <c r="K25" i="9" l="1"/>
  <c r="K27" i="9"/>
  <c r="J23" i="7"/>
  <c r="J25" i="7"/>
  <c r="F16" i="7"/>
  <c r="F17" i="9"/>
  <c r="G17" i="9"/>
  <c r="G16" i="7"/>
  <c r="H17" i="9"/>
  <c r="I17" i="9"/>
  <c r="H16" i="7"/>
  <c r="F14" i="9"/>
  <c r="G14" i="9"/>
  <c r="H14" i="9"/>
  <c r="I14" i="9"/>
  <c r="L9" i="9"/>
  <c r="K17" i="9"/>
  <c r="K14" i="9"/>
  <c r="K9" i="7"/>
  <c r="J16" i="7"/>
  <c r="L25" i="9" l="1"/>
  <c r="L27" i="9"/>
  <c r="K23" i="7"/>
  <c r="K25" i="7"/>
  <c r="F17" i="12"/>
  <c r="M9" i="9"/>
  <c r="L17" i="9"/>
  <c r="L14" i="9"/>
  <c r="L9" i="7"/>
  <c r="K16" i="7"/>
  <c r="F24" i="9"/>
  <c r="M25" i="9" l="1"/>
  <c r="M27" i="9"/>
  <c r="L23" i="7"/>
  <c r="L25" i="7"/>
  <c r="N9" i="9"/>
  <c r="M17" i="9"/>
  <c r="M14" i="9"/>
  <c r="M9" i="7"/>
  <c r="L16" i="7"/>
  <c r="G18" i="9"/>
  <c r="G24" i="9"/>
  <c r="N25" i="9" l="1"/>
  <c r="N27" i="9"/>
  <c r="M23" i="7"/>
  <c r="M25" i="7"/>
  <c r="O9" i="9"/>
  <c r="N17" i="9"/>
  <c r="N14" i="9"/>
  <c r="N9" i="7"/>
  <c r="M16" i="7"/>
  <c r="H18" i="9"/>
  <c r="H24" i="9"/>
  <c r="O25" i="9" l="1"/>
  <c r="O27" i="9"/>
  <c r="N23" i="7"/>
  <c r="N25" i="7"/>
  <c r="P9" i="9"/>
  <c r="O17" i="9"/>
  <c r="O14" i="9"/>
  <c r="O9" i="7"/>
  <c r="N16" i="7"/>
  <c r="I18" i="9"/>
  <c r="I24" i="9"/>
  <c r="G17" i="12"/>
  <c r="P25" i="9" l="1"/>
  <c r="P27" i="9"/>
  <c r="O23" i="7"/>
  <c r="O25" i="7"/>
  <c r="Q9" i="9"/>
  <c r="P17" i="9"/>
  <c r="P14" i="9"/>
  <c r="P9" i="7"/>
  <c r="O16" i="7"/>
  <c r="J18" i="9"/>
  <c r="J24" i="9"/>
  <c r="H17" i="12"/>
  <c r="I17" i="12"/>
  <c r="Q25" i="9" l="1"/>
  <c r="Q27" i="9"/>
  <c r="P23" i="7"/>
  <c r="P25" i="7"/>
  <c r="R9" i="9"/>
  <c r="Q17" i="9"/>
  <c r="Q14" i="9"/>
  <c r="Q9" i="7"/>
  <c r="P16" i="7"/>
  <c r="K18" i="9"/>
  <c r="K24" i="9"/>
  <c r="R25" i="9" l="1"/>
  <c r="R27" i="9"/>
  <c r="Q23" i="7"/>
  <c r="Q25" i="7"/>
  <c r="S9" i="9"/>
  <c r="R17" i="9"/>
  <c r="R14" i="9"/>
  <c r="R9" i="7"/>
  <c r="Q16" i="7"/>
  <c r="L18" i="9"/>
  <c r="L24" i="9"/>
  <c r="J17" i="12"/>
  <c r="K17" i="12"/>
  <c r="S25" i="9" l="1"/>
  <c r="S27" i="9"/>
  <c r="R23" i="7"/>
  <c r="R25" i="7"/>
  <c r="T9" i="9"/>
  <c r="S17" i="9"/>
  <c r="S14" i="9"/>
  <c r="S9" i="7"/>
  <c r="R16" i="7"/>
  <c r="M18" i="9"/>
  <c r="L17" i="12"/>
  <c r="M24" i="9"/>
  <c r="N24" i="9"/>
  <c r="T25" i="9" l="1"/>
  <c r="T27" i="9"/>
  <c r="S23" i="7"/>
  <c r="S25" i="7"/>
  <c r="U9" i="9"/>
  <c r="T17" i="9"/>
  <c r="T14" i="9"/>
  <c r="T9" i="7"/>
  <c r="S16" i="7"/>
  <c r="O18" i="9"/>
  <c r="N18" i="9"/>
  <c r="M17" i="12"/>
  <c r="O24" i="9"/>
  <c r="U25" i="9" l="1"/>
  <c r="U27" i="9"/>
  <c r="T23" i="7"/>
  <c r="T25" i="7"/>
  <c r="V9" i="9"/>
  <c r="U17" i="9"/>
  <c r="U14" i="9"/>
  <c r="U22" i="9"/>
  <c r="U9" i="7"/>
  <c r="T16" i="7"/>
  <c r="P18" i="9"/>
  <c r="N17" i="12"/>
  <c r="P24" i="9"/>
  <c r="V25" i="9" l="1"/>
  <c r="V27" i="9"/>
  <c r="U23" i="7"/>
  <c r="U25" i="7"/>
  <c r="W9" i="9"/>
  <c r="V17" i="9"/>
  <c r="V14" i="9"/>
  <c r="V22" i="9"/>
  <c r="V9" i="7"/>
  <c r="U16" i="7"/>
  <c r="U20" i="7"/>
  <c r="Q18" i="9"/>
  <c r="O17" i="12"/>
  <c r="Q24" i="9"/>
  <c r="W25" i="9" l="1"/>
  <c r="W27" i="9"/>
  <c r="V23" i="7"/>
  <c r="V25" i="7"/>
  <c r="X9" i="9"/>
  <c r="W17" i="9"/>
  <c r="W14" i="9"/>
  <c r="W22" i="9"/>
  <c r="W9" i="7"/>
  <c r="V16" i="7"/>
  <c r="V20" i="7"/>
  <c r="R18" i="9"/>
  <c r="P17" i="12"/>
  <c r="R24" i="9"/>
  <c r="X25" i="9" l="1"/>
  <c r="X27" i="9"/>
  <c r="W23" i="7"/>
  <c r="W25" i="7"/>
  <c r="Y9" i="9"/>
  <c r="X17" i="9"/>
  <c r="X14" i="9"/>
  <c r="X22" i="9"/>
  <c r="X9" i="7"/>
  <c r="W16" i="7"/>
  <c r="W20" i="7"/>
  <c r="S18" i="9"/>
  <c r="Q17" i="12"/>
  <c r="R17" i="12"/>
  <c r="S24" i="9"/>
  <c r="Y25" i="9" l="1"/>
  <c r="X23" i="7"/>
  <c r="X25" i="7"/>
  <c r="Y17" i="9"/>
  <c r="Y14" i="9"/>
  <c r="Y22" i="9"/>
  <c r="Y9" i="7"/>
  <c r="X16" i="7"/>
  <c r="X20" i="7"/>
  <c r="T18" i="9"/>
  <c r="S17" i="12"/>
  <c r="T24" i="9"/>
  <c r="Y23" i="7" l="1"/>
  <c r="Y25" i="7"/>
  <c r="Y16" i="7"/>
  <c r="Y20" i="7"/>
  <c r="U18" i="9"/>
  <c r="U24" i="9"/>
  <c r="V18" i="9" l="1"/>
  <c r="T17" i="12"/>
  <c r="V24" i="9"/>
  <c r="W18" i="9" l="1"/>
  <c r="U17" i="12"/>
  <c r="W24" i="9"/>
  <c r="X18" i="9" l="1"/>
  <c r="V17" i="12"/>
  <c r="X24" i="9"/>
  <c r="Y18" i="9" l="1"/>
  <c r="W17" i="12"/>
  <c r="Y24" i="9"/>
  <c r="X17" i="12" l="1"/>
  <c r="F22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Y17" i="12" l="1"/>
  <c r="G22" i="7"/>
  <c r="H22" i="7" l="1"/>
  <c r="I22" i="7" l="1"/>
  <c r="J22" i="7" l="1"/>
  <c r="K22" i="7" l="1"/>
  <c r="L22" i="7" l="1"/>
  <c r="M22" i="7" l="1"/>
  <c r="N22" i="7" l="1"/>
  <c r="O22" i="7" l="1"/>
  <c r="P22" i="7" l="1"/>
  <c r="Y28" i="9" l="1"/>
  <c r="Q22" i="7"/>
  <c r="P26" i="7" l="1"/>
  <c r="P12" i="14" s="1"/>
  <c r="P13" i="14" s="1"/>
  <c r="F24" i="2"/>
  <c r="Y19" i="9"/>
  <c r="X28" i="9"/>
  <c r="X19" i="9"/>
  <c r="T28" i="9"/>
  <c r="T19" i="9"/>
  <c r="W28" i="9"/>
  <c r="W19" i="9"/>
  <c r="S28" i="9"/>
  <c r="S19" i="9"/>
  <c r="U28" i="9"/>
  <c r="U19" i="9"/>
  <c r="V19" i="9"/>
  <c r="V28" i="9"/>
  <c r="R28" i="9"/>
  <c r="R19" i="9"/>
  <c r="F19" i="9"/>
  <c r="J19" i="9"/>
  <c r="Q19" i="9"/>
  <c r="M19" i="9"/>
  <c r="P19" i="9"/>
  <c r="L19" i="9"/>
  <c r="N19" i="9"/>
  <c r="O19" i="9"/>
  <c r="K19" i="9"/>
  <c r="H19" i="9"/>
  <c r="I19" i="9"/>
  <c r="G19" i="9"/>
  <c r="R22" i="7"/>
  <c r="Q28" i="9"/>
  <c r="I28" i="9"/>
  <c r="P28" i="9"/>
  <c r="L28" i="9"/>
  <c r="O28" i="9"/>
  <c r="K28" i="9"/>
  <c r="G28" i="9"/>
  <c r="M28" i="9"/>
  <c r="H28" i="9"/>
  <c r="N28" i="9"/>
  <c r="J28" i="9"/>
  <c r="F28" i="9"/>
  <c r="O26" i="7"/>
  <c r="O12" i="14" s="1"/>
  <c r="O13" i="14" s="1"/>
  <c r="O17" i="7"/>
  <c r="J26" i="7"/>
  <c r="J12" i="14" s="1"/>
  <c r="J13" i="14" s="1"/>
  <c r="J17" i="7"/>
  <c r="K26" i="7"/>
  <c r="K12" i="14" s="1"/>
  <c r="K13" i="14" s="1"/>
  <c r="K17" i="7"/>
  <c r="G26" i="7"/>
  <c r="G12" i="14" s="1"/>
  <c r="G13" i="14" s="1"/>
  <c r="G17" i="7"/>
  <c r="F26" i="7"/>
  <c r="F12" i="14" s="1"/>
  <c r="F17" i="7"/>
  <c r="M26" i="7"/>
  <c r="M12" i="14" s="1"/>
  <c r="M13" i="14" s="1"/>
  <c r="M17" i="7"/>
  <c r="L26" i="7"/>
  <c r="L12" i="14" s="1"/>
  <c r="L13" i="14" s="1"/>
  <c r="L17" i="7"/>
  <c r="N26" i="7"/>
  <c r="N12" i="14" s="1"/>
  <c r="N13" i="14" s="1"/>
  <c r="N17" i="7"/>
  <c r="I26" i="7"/>
  <c r="I12" i="14" s="1"/>
  <c r="I13" i="14" s="1"/>
  <c r="I17" i="7"/>
  <c r="H26" i="7"/>
  <c r="H12" i="14" s="1"/>
  <c r="H13" i="14" s="1"/>
  <c r="H17" i="7"/>
  <c r="F31" i="2"/>
  <c r="C25" i="4"/>
  <c r="N54" i="9" l="1"/>
  <c r="H54" i="9"/>
  <c r="L54" i="9"/>
  <c r="J54" i="9"/>
  <c r="S54" i="9"/>
  <c r="T54" i="9"/>
  <c r="Y54" i="9"/>
  <c r="Q54" i="9"/>
  <c r="K54" i="9"/>
  <c r="F54" i="9"/>
  <c r="V54" i="9"/>
  <c r="I54" i="9"/>
  <c r="P54" i="9"/>
  <c r="G54" i="9"/>
  <c r="O54" i="9"/>
  <c r="M54" i="9"/>
  <c r="R54" i="9"/>
  <c r="U54" i="9"/>
  <c r="W54" i="9"/>
  <c r="X54" i="9"/>
  <c r="I52" i="7"/>
  <c r="I53" i="7" s="1"/>
  <c r="L52" i="7"/>
  <c r="L53" i="7" s="1"/>
  <c r="F52" i="7"/>
  <c r="K52" i="7"/>
  <c r="K53" i="7" s="1"/>
  <c r="O52" i="7"/>
  <c r="O53" i="7" s="1"/>
  <c r="H52" i="7"/>
  <c r="H53" i="7" s="1"/>
  <c r="N52" i="7"/>
  <c r="N53" i="7" s="1"/>
  <c r="M52" i="7"/>
  <c r="M53" i="7" s="1"/>
  <c r="G52" i="7"/>
  <c r="G53" i="7" s="1"/>
  <c r="J52" i="7"/>
  <c r="J53" i="7" s="1"/>
  <c r="F13" i="14"/>
  <c r="P17" i="7"/>
  <c r="S22" i="7"/>
  <c r="F33" i="2"/>
  <c r="K23" i="4" s="1"/>
  <c r="P52" i="7" l="1"/>
  <c r="P53" i="7" s="1"/>
  <c r="K25" i="4"/>
  <c r="L25" i="4" s="1"/>
  <c r="E13" i="16"/>
  <c r="E11" i="16"/>
  <c r="R17" i="7"/>
  <c r="Q26" i="7"/>
  <c r="Q12" i="14" s="1"/>
  <c r="Q17" i="7"/>
  <c r="R26" i="7"/>
  <c r="R12" i="14" s="1"/>
  <c r="R13" i="14" s="1"/>
  <c r="E9" i="6"/>
  <c r="E30" i="6" s="1"/>
  <c r="E12" i="7"/>
  <c r="E12" i="9"/>
  <c r="E11" i="9"/>
  <c r="E11" i="7"/>
  <c r="T22" i="7"/>
  <c r="E37" i="9" l="1"/>
  <c r="E38" i="7"/>
  <c r="F53" i="7" s="1"/>
  <c r="F54" i="7" s="1"/>
  <c r="F59" i="7" s="1"/>
  <c r="E40" i="9"/>
  <c r="E35" i="7"/>
  <c r="E36" i="7" s="1"/>
  <c r="E38" i="9"/>
  <c r="E31" i="9"/>
  <c r="Q52" i="7"/>
  <c r="Q53" i="7" s="1"/>
  <c r="E29" i="7"/>
  <c r="R52" i="7"/>
  <c r="R53" i="7" s="1"/>
  <c r="Q13" i="14"/>
  <c r="E25" i="6"/>
  <c r="E28" i="6"/>
  <c r="E27" i="6"/>
  <c r="E32" i="6"/>
  <c r="E31" i="6"/>
  <c r="E26" i="6"/>
  <c r="E29" i="6"/>
  <c r="U22" i="7"/>
  <c r="E41" i="9" l="1"/>
  <c r="E42" i="9" s="1"/>
  <c r="E39" i="7"/>
  <c r="E40" i="7" s="1"/>
  <c r="G54" i="7"/>
  <c r="H54" i="7" s="1"/>
  <c r="I55" i="9"/>
  <c r="V55" i="9"/>
  <c r="Q55" i="9"/>
  <c r="T55" i="9"/>
  <c r="P55" i="9"/>
  <c r="N55" i="9"/>
  <c r="J55" i="9"/>
  <c r="Y55" i="9"/>
  <c r="U55" i="9"/>
  <c r="H55" i="9"/>
  <c r="K55" i="9"/>
  <c r="O55" i="9"/>
  <c r="F55" i="9"/>
  <c r="F56" i="9" s="1"/>
  <c r="R55" i="9"/>
  <c r="W55" i="9"/>
  <c r="L55" i="9"/>
  <c r="G55" i="9"/>
  <c r="X55" i="9"/>
  <c r="S55" i="9"/>
  <c r="M55" i="9"/>
  <c r="E51" i="9"/>
  <c r="E52" i="9" s="1"/>
  <c r="E53" i="9" s="1"/>
  <c r="E49" i="7"/>
  <c r="E50" i="7" s="1"/>
  <c r="E51" i="7" s="1"/>
  <c r="S26" i="7"/>
  <c r="S12" i="14" s="1"/>
  <c r="S17" i="7"/>
  <c r="E14" i="6"/>
  <c r="E16" i="6"/>
  <c r="E58" i="7"/>
  <c r="V22" i="7"/>
  <c r="G59" i="7" l="1"/>
  <c r="F61" i="9"/>
  <c r="G56" i="9"/>
  <c r="I54" i="7"/>
  <c r="H59" i="7"/>
  <c r="S52" i="7"/>
  <c r="S53" i="7" s="1"/>
  <c r="S13" i="14"/>
  <c r="T17" i="7"/>
  <c r="T26" i="7"/>
  <c r="T12" i="14" s="1"/>
  <c r="T13" i="14" s="1"/>
  <c r="U29" i="9"/>
  <c r="V29" i="9"/>
  <c r="W29" i="9"/>
  <c r="X29" i="9"/>
  <c r="Y29" i="9"/>
  <c r="E60" i="9"/>
  <c r="E15" i="6"/>
  <c r="E24" i="6"/>
  <c r="E13" i="6"/>
  <c r="C13" i="6"/>
  <c r="D13" i="6"/>
  <c r="E22" i="6"/>
  <c r="E17" i="6"/>
  <c r="E18" i="6"/>
  <c r="E19" i="6"/>
  <c r="E21" i="6"/>
  <c r="E23" i="6"/>
  <c r="E20" i="6"/>
  <c r="W22" i="7"/>
  <c r="H56" i="9" l="1"/>
  <c r="G61" i="9"/>
  <c r="V32" i="9"/>
  <c r="V34" i="9" s="1"/>
  <c r="V35" i="9" s="1"/>
  <c r="X32" i="9"/>
  <c r="X34" i="9" s="1"/>
  <c r="X35" i="9" s="1"/>
  <c r="Y32" i="9"/>
  <c r="Y34" i="9" s="1"/>
  <c r="Y35" i="9" s="1"/>
  <c r="U32" i="9"/>
  <c r="U34" i="9" s="1"/>
  <c r="U35" i="9" s="1"/>
  <c r="W32" i="9"/>
  <c r="I59" i="7"/>
  <c r="J54" i="7"/>
  <c r="T52" i="7"/>
  <c r="T53" i="7" s="1"/>
  <c r="F22" i="9"/>
  <c r="F20" i="7"/>
  <c r="U17" i="7"/>
  <c r="U26" i="7"/>
  <c r="C14" i="6"/>
  <c r="D14" i="6" s="1"/>
  <c r="X22" i="7"/>
  <c r="I56" i="9" l="1"/>
  <c r="H61" i="9"/>
  <c r="X31" i="9"/>
  <c r="U31" i="9"/>
  <c r="Y31" i="9"/>
  <c r="V31" i="9"/>
  <c r="W34" i="9"/>
  <c r="W31" i="9" s="1"/>
  <c r="F29" i="9"/>
  <c r="J59" i="7"/>
  <c r="K54" i="7"/>
  <c r="U52" i="7"/>
  <c r="U53" i="7" s="1"/>
  <c r="U27" i="7"/>
  <c r="U12" i="14"/>
  <c r="G22" i="9"/>
  <c r="G20" i="7"/>
  <c r="V17" i="7"/>
  <c r="V26" i="7"/>
  <c r="C15" i="6"/>
  <c r="D15" i="6" s="1"/>
  <c r="Y22" i="7"/>
  <c r="J56" i="9" l="1"/>
  <c r="I61" i="9"/>
  <c r="U51" i="9"/>
  <c r="U52" i="9" s="1"/>
  <c r="U37" i="9"/>
  <c r="U41" i="9" s="1"/>
  <c r="V51" i="9"/>
  <c r="V52" i="9" s="1"/>
  <c r="V37" i="9"/>
  <c r="V41" i="9" s="1"/>
  <c r="Y51" i="9"/>
  <c r="Y52" i="9" s="1"/>
  <c r="Y37" i="9"/>
  <c r="Y41" i="9" s="1"/>
  <c r="W51" i="9"/>
  <c r="W52" i="9" s="1"/>
  <c r="W37" i="9"/>
  <c r="W41" i="9" s="1"/>
  <c r="X51" i="9"/>
  <c r="X52" i="9" s="1"/>
  <c r="X37" i="9"/>
  <c r="X41" i="9" s="1"/>
  <c r="W35" i="9"/>
  <c r="F32" i="9"/>
  <c r="G29" i="9"/>
  <c r="L54" i="7"/>
  <c r="K59" i="7"/>
  <c r="G27" i="7"/>
  <c r="U30" i="7"/>
  <c r="V52" i="7"/>
  <c r="V53" i="7" s="1"/>
  <c r="V27" i="7"/>
  <c r="V12" i="14"/>
  <c r="V13" i="14" s="1"/>
  <c r="U13" i="14"/>
  <c r="C16" i="6"/>
  <c r="D16" i="6" s="1"/>
  <c r="H22" i="9"/>
  <c r="H20" i="7"/>
  <c r="W17" i="7"/>
  <c r="W26" i="7"/>
  <c r="K56" i="9" l="1"/>
  <c r="J61" i="9"/>
  <c r="G32" i="9"/>
  <c r="F34" i="9"/>
  <c r="F31" i="9" s="1"/>
  <c r="H29" i="9"/>
  <c r="L59" i="7"/>
  <c r="M54" i="7"/>
  <c r="U32" i="7"/>
  <c r="G30" i="7"/>
  <c r="H27" i="7"/>
  <c r="W52" i="7"/>
  <c r="W53" i="7" s="1"/>
  <c r="V30" i="7"/>
  <c r="V32" i="7" s="1"/>
  <c r="V33" i="7" s="1"/>
  <c r="W27" i="7"/>
  <c r="W12" i="14"/>
  <c r="W13" i="14" s="1"/>
  <c r="C17" i="6"/>
  <c r="D17" i="6" s="1"/>
  <c r="C18" i="6" s="1"/>
  <c r="D18" i="6" s="1"/>
  <c r="I22" i="9"/>
  <c r="I20" i="7"/>
  <c r="Y26" i="7"/>
  <c r="X17" i="7"/>
  <c r="X26" i="7"/>
  <c r="L56" i="9" l="1"/>
  <c r="K61" i="9"/>
  <c r="U29" i="7"/>
  <c r="U49" i="7" s="1"/>
  <c r="U50" i="7" s="1"/>
  <c r="U13" i="12"/>
  <c r="W30" i="7"/>
  <c r="W32" i="7" s="1"/>
  <c r="V13" i="12"/>
  <c r="F51" i="9"/>
  <c r="F52" i="9" s="1"/>
  <c r="F53" i="9" s="1"/>
  <c r="F37" i="9"/>
  <c r="F35" i="9"/>
  <c r="G34" i="9"/>
  <c r="G31" i="9" s="1"/>
  <c r="H32" i="9"/>
  <c r="H34" i="9" s="1"/>
  <c r="H35" i="9" s="1"/>
  <c r="I29" i="9"/>
  <c r="N54" i="7"/>
  <c r="M59" i="7"/>
  <c r="G32" i="7"/>
  <c r="U33" i="7"/>
  <c r="V29" i="7"/>
  <c r="H30" i="7"/>
  <c r="H32" i="7" s="1"/>
  <c r="H33" i="7" s="1"/>
  <c r="X52" i="7"/>
  <c r="X53" i="7" s="1"/>
  <c r="I27" i="7"/>
  <c r="Y27" i="7"/>
  <c r="Y12" i="14"/>
  <c r="X27" i="7"/>
  <c r="X12" i="14"/>
  <c r="X13" i="14" s="1"/>
  <c r="J22" i="9"/>
  <c r="J20" i="7"/>
  <c r="K22" i="9"/>
  <c r="K29" i="9" s="1"/>
  <c r="K20" i="7"/>
  <c r="K27" i="7" s="1"/>
  <c r="Y17" i="7"/>
  <c r="C19" i="6"/>
  <c r="D19" i="6" s="1"/>
  <c r="U35" i="7" l="1"/>
  <c r="U39" i="7" s="1"/>
  <c r="M56" i="9"/>
  <c r="L61" i="9"/>
  <c r="H13" i="12"/>
  <c r="H14" i="12" s="1"/>
  <c r="W33" i="7"/>
  <c r="W13" i="12"/>
  <c r="G29" i="7"/>
  <c r="G49" i="7" s="1"/>
  <c r="G50" i="7" s="1"/>
  <c r="G13" i="12"/>
  <c r="G14" i="12" s="1"/>
  <c r="F41" i="9"/>
  <c r="F42" i="9" s="1"/>
  <c r="F38" i="9"/>
  <c r="G51" i="9"/>
  <c r="G52" i="9" s="1"/>
  <c r="G53" i="9" s="1"/>
  <c r="G37" i="9"/>
  <c r="G41" i="9" s="1"/>
  <c r="F60" i="9"/>
  <c r="F57" i="9"/>
  <c r="G35" i="9"/>
  <c r="K32" i="9"/>
  <c r="H31" i="9"/>
  <c r="I32" i="9"/>
  <c r="I34" i="9" s="1"/>
  <c r="I35" i="9" s="1"/>
  <c r="J29" i="9"/>
  <c r="N59" i="7"/>
  <c r="O54" i="7"/>
  <c r="V49" i="7"/>
  <c r="V50" i="7" s="1"/>
  <c r="V35" i="7"/>
  <c r="V39" i="7" s="1"/>
  <c r="H29" i="7"/>
  <c r="G33" i="7"/>
  <c r="W29" i="7"/>
  <c r="X30" i="7"/>
  <c r="X32" i="7" s="1"/>
  <c r="X33" i="7" s="1"/>
  <c r="I30" i="7"/>
  <c r="J27" i="7"/>
  <c r="Y52" i="7"/>
  <c r="Y53" i="7" s="1"/>
  <c r="Y30" i="7"/>
  <c r="K30" i="7"/>
  <c r="Y13" i="14"/>
  <c r="E15" i="14"/>
  <c r="L22" i="9"/>
  <c r="L29" i="9" s="1"/>
  <c r="L20" i="7"/>
  <c r="L27" i="7" s="1"/>
  <c r="C20" i="6"/>
  <c r="D20" i="6" s="1"/>
  <c r="N56" i="9" l="1"/>
  <c r="M61" i="9"/>
  <c r="G35" i="7"/>
  <c r="G39" i="7" s="1"/>
  <c r="G42" i="9"/>
  <c r="X13" i="12"/>
  <c r="H51" i="9"/>
  <c r="H52" i="9" s="1"/>
  <c r="H53" i="9" s="1"/>
  <c r="H37" i="9"/>
  <c r="G38" i="9"/>
  <c r="G60" i="9"/>
  <c r="G57" i="9"/>
  <c r="I31" i="9"/>
  <c r="L32" i="9"/>
  <c r="L34" i="9" s="1"/>
  <c r="L35" i="9" s="1"/>
  <c r="K34" i="9"/>
  <c r="K31" i="9" s="1"/>
  <c r="J32" i="9"/>
  <c r="J34" i="9" s="1"/>
  <c r="J35" i="9" s="1"/>
  <c r="W49" i="7"/>
  <c r="W50" i="7" s="1"/>
  <c r="W35" i="7"/>
  <c r="W39" i="7" s="1"/>
  <c r="H49" i="7"/>
  <c r="H50" i="7" s="1"/>
  <c r="H35" i="7"/>
  <c r="H39" i="7" s="1"/>
  <c r="P54" i="7"/>
  <c r="O59" i="7"/>
  <c r="X29" i="7"/>
  <c r="I32" i="7"/>
  <c r="Y32" i="7"/>
  <c r="K32" i="7"/>
  <c r="J30" i="7"/>
  <c r="J32" i="7" s="1"/>
  <c r="J33" i="7" s="1"/>
  <c r="L30" i="7"/>
  <c r="L32" i="7" s="1"/>
  <c r="L33" i="7" s="1"/>
  <c r="M22" i="9"/>
  <c r="M29" i="9" s="1"/>
  <c r="M20" i="7"/>
  <c r="M27" i="7" s="1"/>
  <c r="C21" i="6"/>
  <c r="D21" i="6" s="1"/>
  <c r="O56" i="9" l="1"/>
  <c r="N61" i="9"/>
  <c r="H38" i="9"/>
  <c r="Y29" i="7"/>
  <c r="Y49" i="7" s="1"/>
  <c r="Y50" i="7" s="1"/>
  <c r="Y13" i="12"/>
  <c r="J13" i="12"/>
  <c r="J14" i="12" s="1"/>
  <c r="K29" i="7"/>
  <c r="K49" i="7" s="1"/>
  <c r="K50" i="7" s="1"/>
  <c r="K13" i="12"/>
  <c r="K14" i="12" s="1"/>
  <c r="I29" i="7"/>
  <c r="I49" i="7" s="1"/>
  <c r="I50" i="7" s="1"/>
  <c r="I13" i="12"/>
  <c r="I14" i="12" s="1"/>
  <c r="L13" i="12"/>
  <c r="L14" i="12" s="1"/>
  <c r="K51" i="9"/>
  <c r="K52" i="9" s="1"/>
  <c r="K37" i="9"/>
  <c r="K41" i="9" s="1"/>
  <c r="H60" i="9"/>
  <c r="H57" i="9"/>
  <c r="H41" i="9"/>
  <c r="H42" i="9" s="1"/>
  <c r="I51" i="9"/>
  <c r="I52" i="9" s="1"/>
  <c r="I53" i="9" s="1"/>
  <c r="I37" i="9"/>
  <c r="L31" i="9"/>
  <c r="M32" i="9"/>
  <c r="M34" i="9" s="1"/>
  <c r="M35" i="9" s="1"/>
  <c r="K35" i="9"/>
  <c r="J31" i="9"/>
  <c r="X49" i="7"/>
  <c r="X50" i="7" s="1"/>
  <c r="X35" i="7"/>
  <c r="X39" i="7" s="1"/>
  <c r="Q54" i="7"/>
  <c r="P59" i="7"/>
  <c r="I33" i="7"/>
  <c r="L29" i="7"/>
  <c r="Y33" i="7"/>
  <c r="K33" i="7"/>
  <c r="J29" i="7"/>
  <c r="M30" i="7"/>
  <c r="N22" i="9"/>
  <c r="N29" i="9" s="1"/>
  <c r="N20" i="7"/>
  <c r="N27" i="7" s="1"/>
  <c r="C22" i="6"/>
  <c r="D22" i="6" s="1"/>
  <c r="K35" i="7" l="1"/>
  <c r="K39" i="7" s="1"/>
  <c r="Y35" i="7"/>
  <c r="Y39" i="7" s="1"/>
  <c r="P56" i="9"/>
  <c r="O61" i="9"/>
  <c r="I35" i="7"/>
  <c r="I39" i="7" s="1"/>
  <c r="L51" i="9"/>
  <c r="L52" i="9" s="1"/>
  <c r="L37" i="9"/>
  <c r="L41" i="9" s="1"/>
  <c r="I60" i="9"/>
  <c r="I57" i="9"/>
  <c r="I41" i="9"/>
  <c r="I42" i="9" s="1"/>
  <c r="J51" i="9"/>
  <c r="J52" i="9" s="1"/>
  <c r="J53" i="9" s="1"/>
  <c r="J37" i="9"/>
  <c r="I38" i="9"/>
  <c r="N32" i="9"/>
  <c r="N34" i="9" s="1"/>
  <c r="N35" i="9" s="1"/>
  <c r="M31" i="9"/>
  <c r="J49" i="7"/>
  <c r="J50" i="7" s="1"/>
  <c r="J35" i="7"/>
  <c r="J39" i="7" s="1"/>
  <c r="L49" i="7"/>
  <c r="L50" i="7" s="1"/>
  <c r="L35" i="7"/>
  <c r="L39" i="7" s="1"/>
  <c r="R54" i="7"/>
  <c r="S54" i="7" s="1"/>
  <c r="Q59" i="7"/>
  <c r="M32" i="7"/>
  <c r="N30" i="7"/>
  <c r="N32" i="7" s="1"/>
  <c r="N33" i="7" s="1"/>
  <c r="O22" i="9"/>
  <c r="O29" i="9" s="1"/>
  <c r="O20" i="7"/>
  <c r="O27" i="7" s="1"/>
  <c r="C23" i="6"/>
  <c r="Q56" i="9" l="1"/>
  <c r="P61" i="9"/>
  <c r="M29" i="7"/>
  <c r="M35" i="7" s="1"/>
  <c r="M39" i="7" s="1"/>
  <c r="M13" i="12"/>
  <c r="M14" i="12" s="1"/>
  <c r="R59" i="7"/>
  <c r="N13" i="12"/>
  <c r="N14" i="12" s="1"/>
  <c r="K53" i="9"/>
  <c r="J60" i="9"/>
  <c r="J57" i="9"/>
  <c r="J41" i="9"/>
  <c r="J42" i="9" s="1"/>
  <c r="K42" i="9" s="1"/>
  <c r="L42" i="9" s="1"/>
  <c r="M51" i="9"/>
  <c r="M52" i="9" s="1"/>
  <c r="M37" i="9"/>
  <c r="M41" i="9" s="1"/>
  <c r="J38" i="9"/>
  <c r="K38" i="9" s="1"/>
  <c r="L38" i="9" s="1"/>
  <c r="N31" i="9"/>
  <c r="O32" i="9"/>
  <c r="T54" i="7"/>
  <c r="S59" i="7"/>
  <c r="M33" i="7"/>
  <c r="N29" i="7"/>
  <c r="O30" i="7"/>
  <c r="D23" i="6"/>
  <c r="M49" i="7" l="1"/>
  <c r="M50" i="7" s="1"/>
  <c r="M42" i="9"/>
  <c r="R56" i="9"/>
  <c r="Q61" i="9"/>
  <c r="M38" i="9"/>
  <c r="N51" i="9"/>
  <c r="N52" i="9" s="1"/>
  <c r="N37" i="9"/>
  <c r="L53" i="9"/>
  <c r="K60" i="9"/>
  <c r="K57" i="9"/>
  <c r="O34" i="9"/>
  <c r="O31" i="9" s="1"/>
  <c r="U54" i="7"/>
  <c r="T59" i="7"/>
  <c r="N49" i="7"/>
  <c r="N50" i="7" s="1"/>
  <c r="N35" i="7"/>
  <c r="N39" i="7" s="1"/>
  <c r="O32" i="7"/>
  <c r="P22" i="9"/>
  <c r="P29" i="9" s="1"/>
  <c r="P20" i="7"/>
  <c r="P27" i="7" s="1"/>
  <c r="C24" i="6"/>
  <c r="S56" i="9" l="1"/>
  <c r="R61" i="9"/>
  <c r="O29" i="7"/>
  <c r="O49" i="7" s="1"/>
  <c r="O50" i="7" s="1"/>
  <c r="O13" i="12"/>
  <c r="O14" i="12" s="1"/>
  <c r="O51" i="9"/>
  <c r="O52" i="9" s="1"/>
  <c r="O37" i="9"/>
  <c r="O41" i="9" s="1"/>
  <c r="N41" i="9"/>
  <c r="N42" i="9" s="1"/>
  <c r="M53" i="9"/>
  <c r="L60" i="9"/>
  <c r="L57" i="9"/>
  <c r="N38" i="9"/>
  <c r="O35" i="9"/>
  <c r="P32" i="9"/>
  <c r="P34" i="9" s="1"/>
  <c r="P35" i="9" s="1"/>
  <c r="U59" i="7"/>
  <c r="V54" i="7"/>
  <c r="O33" i="7"/>
  <c r="P30" i="7"/>
  <c r="P32" i="7" s="1"/>
  <c r="P33" i="7" s="1"/>
  <c r="D24" i="6"/>
  <c r="O35" i="7" l="1"/>
  <c r="O39" i="7" s="1"/>
  <c r="T56" i="9"/>
  <c r="S61" i="9"/>
  <c r="O38" i="9"/>
  <c r="O42" i="9"/>
  <c r="P13" i="12"/>
  <c r="P14" i="12" s="1"/>
  <c r="N53" i="9"/>
  <c r="M60" i="9"/>
  <c r="M57" i="9"/>
  <c r="P31" i="9"/>
  <c r="W54" i="7"/>
  <c r="V59" i="7"/>
  <c r="P29" i="7"/>
  <c r="Q22" i="9"/>
  <c r="Q29" i="9" s="1"/>
  <c r="Q20" i="7"/>
  <c r="Q27" i="7" s="1"/>
  <c r="C25" i="6"/>
  <c r="D25" i="6" s="1"/>
  <c r="U56" i="9" l="1"/>
  <c r="T61" i="9"/>
  <c r="P51" i="9"/>
  <c r="P52" i="9" s="1"/>
  <c r="P37" i="9"/>
  <c r="O53" i="9"/>
  <c r="N60" i="9"/>
  <c r="N57" i="9"/>
  <c r="Q32" i="9"/>
  <c r="Q34" i="9" s="1"/>
  <c r="Q35" i="9" s="1"/>
  <c r="P49" i="7"/>
  <c r="P50" i="7" s="1"/>
  <c r="P35" i="7"/>
  <c r="P39" i="7" s="1"/>
  <c r="W59" i="7"/>
  <c r="X54" i="7"/>
  <c r="Q30" i="7"/>
  <c r="R22" i="9"/>
  <c r="R29" i="9" s="1"/>
  <c r="R20" i="7"/>
  <c r="R27" i="7" s="1"/>
  <c r="C26" i="6"/>
  <c r="D26" i="6" s="1"/>
  <c r="V56" i="9" l="1"/>
  <c r="U61" i="9"/>
  <c r="P53" i="9"/>
  <c r="O60" i="9"/>
  <c r="O57" i="9"/>
  <c r="P41" i="9"/>
  <c r="P42" i="9" s="1"/>
  <c r="P38" i="9"/>
  <c r="Q31" i="9"/>
  <c r="R32" i="9"/>
  <c r="R34" i="9" s="1"/>
  <c r="R35" i="9" s="1"/>
  <c r="Y54" i="7"/>
  <c r="Y59" i="7" s="1"/>
  <c r="X59" i="7"/>
  <c r="Q32" i="7"/>
  <c r="R30" i="7"/>
  <c r="R32" i="7" s="1"/>
  <c r="R33" i="7" s="1"/>
  <c r="S22" i="9"/>
  <c r="S29" i="9" s="1"/>
  <c r="S20" i="7"/>
  <c r="S27" i="7" s="1"/>
  <c r="C27" i="6"/>
  <c r="D27" i="6" s="1"/>
  <c r="W56" i="9" l="1"/>
  <c r="V61" i="9"/>
  <c r="Q29" i="7"/>
  <c r="Q35" i="7" s="1"/>
  <c r="Q39" i="7" s="1"/>
  <c r="Q13" i="12"/>
  <c r="Q14" i="12" s="1"/>
  <c r="R13" i="12"/>
  <c r="R14" i="12" s="1"/>
  <c r="Q51" i="9"/>
  <c r="Q52" i="9" s="1"/>
  <c r="Q53" i="9" s="1"/>
  <c r="Q37" i="9"/>
  <c r="Q41" i="9" s="1"/>
  <c r="Q42" i="9" s="1"/>
  <c r="P57" i="9"/>
  <c r="P60" i="9"/>
  <c r="S32" i="9"/>
  <c r="R31" i="9"/>
  <c r="R29" i="7"/>
  <c r="Q33" i="7"/>
  <c r="S30" i="7"/>
  <c r="T22" i="9"/>
  <c r="T29" i="9" s="1"/>
  <c r="T20" i="7"/>
  <c r="T27" i="7" s="1"/>
  <c r="C28" i="6"/>
  <c r="Q38" i="9" l="1"/>
  <c r="Q49" i="7"/>
  <c r="Q50" i="7" s="1"/>
  <c r="X56" i="9"/>
  <c r="W61" i="9"/>
  <c r="Q57" i="9"/>
  <c r="Q60" i="9"/>
  <c r="R51" i="9"/>
  <c r="R52" i="9" s="1"/>
  <c r="R53" i="9" s="1"/>
  <c r="R37" i="9"/>
  <c r="R41" i="9" s="1"/>
  <c r="R42" i="9" s="1"/>
  <c r="T32" i="9"/>
  <c r="T34" i="9" s="1"/>
  <c r="T35" i="9" s="1"/>
  <c r="S34" i="9"/>
  <c r="S31" i="9" s="1"/>
  <c r="R49" i="7"/>
  <c r="R50" i="7" s="1"/>
  <c r="R35" i="7"/>
  <c r="R39" i="7" s="1"/>
  <c r="S32" i="7"/>
  <c r="T30" i="7"/>
  <c r="T32" i="7" s="1"/>
  <c r="T33" i="7" s="1"/>
  <c r="D28" i="6"/>
  <c r="Y56" i="9" l="1"/>
  <c r="Y61" i="9" s="1"/>
  <c r="X61" i="9"/>
  <c r="S29" i="7"/>
  <c r="S49" i="7" s="1"/>
  <c r="S50" i="7" s="1"/>
  <c r="S13" i="12"/>
  <c r="S14" i="12" s="1"/>
  <c r="T13" i="12"/>
  <c r="T14" i="12" s="1"/>
  <c r="R57" i="9"/>
  <c r="R60" i="9"/>
  <c r="S51" i="9"/>
  <c r="S52" i="9" s="1"/>
  <c r="S53" i="9" s="1"/>
  <c r="S37" i="9"/>
  <c r="S41" i="9" s="1"/>
  <c r="S42" i="9" s="1"/>
  <c r="R38" i="9"/>
  <c r="T31" i="9"/>
  <c r="S35" i="9"/>
  <c r="T29" i="7"/>
  <c r="S33" i="7"/>
  <c r="C29" i="6"/>
  <c r="S35" i="7" l="1"/>
  <c r="S39" i="7" s="1"/>
  <c r="S38" i="9"/>
  <c r="T51" i="9"/>
  <c r="T52" i="9" s="1"/>
  <c r="T53" i="9" s="1"/>
  <c r="T37" i="9"/>
  <c r="E46" i="9" a="1"/>
  <c r="E46" i="9" s="1"/>
  <c r="S60" i="9"/>
  <c r="S57" i="9"/>
  <c r="T49" i="7"/>
  <c r="T50" i="7" s="1"/>
  <c r="T35" i="7"/>
  <c r="T39" i="7" s="1"/>
  <c r="D29" i="6"/>
  <c r="T38" i="9" l="1"/>
  <c r="U38" i="9" s="1"/>
  <c r="V38" i="9" s="1"/>
  <c r="W38" i="9" s="1"/>
  <c r="X38" i="9" s="1"/>
  <c r="Y38" i="9" s="1"/>
  <c r="E47" i="9" s="1" a="1"/>
  <c r="E47" i="9" s="1"/>
  <c r="U53" i="9"/>
  <c r="T57" i="9"/>
  <c r="T60" i="9"/>
  <c r="T41" i="9"/>
  <c r="T42" i="9" s="1"/>
  <c r="U42" i="9" s="1"/>
  <c r="V42" i="9" s="1"/>
  <c r="W42" i="9" s="1"/>
  <c r="X42" i="9" s="1"/>
  <c r="Y42" i="9" s="1"/>
  <c r="E48" i="9" s="1" a="1"/>
  <c r="E48" i="9" s="1"/>
  <c r="E44" i="9"/>
  <c r="E17" i="16" s="1"/>
  <c r="E45" i="9"/>
  <c r="E18" i="16" s="1"/>
  <c r="U14" i="12"/>
  <c r="C30" i="6"/>
  <c r="D30" i="6" s="1"/>
  <c r="U57" i="9"/>
  <c r="E32" i="13" l="1"/>
  <c r="D32" i="13"/>
  <c r="V53" i="9"/>
  <c r="W53" i="9" s="1"/>
  <c r="X53" i="9" s="1"/>
  <c r="Y53" i="9" s="1"/>
  <c r="U60" i="9"/>
  <c r="C31" i="6"/>
  <c r="D31" i="6" s="1"/>
  <c r="V14" i="12" l="1"/>
  <c r="C32" i="6"/>
  <c r="D32" i="6" s="1"/>
  <c r="V57" i="9"/>
  <c r="V60" i="9"/>
  <c r="W14" i="12" l="1"/>
  <c r="W57" i="9"/>
  <c r="W60" i="9"/>
  <c r="X14" i="12" l="1"/>
  <c r="X57" i="9"/>
  <c r="Y57" i="9"/>
  <c r="X60" i="9"/>
  <c r="Y14" i="12" l="1"/>
  <c r="Y60" i="9"/>
  <c r="F27" i="7" l="1"/>
  <c r="F30" i="7" l="1"/>
  <c r="F32" i="7" l="1"/>
  <c r="F29" i="7" l="1"/>
  <c r="F49" i="7" s="1"/>
  <c r="F50" i="7" s="1"/>
  <c r="F51" i="7" s="1"/>
  <c r="F13" i="12"/>
  <c r="F14" i="12" s="1"/>
  <c r="F33" i="7"/>
  <c r="E44" i="7" l="1" a="1"/>
  <c r="E44" i="7" s="1"/>
  <c r="F35" i="7"/>
  <c r="F39" i="7" s="1"/>
  <c r="F40" i="7" s="1"/>
  <c r="E19" i="12"/>
  <c r="E14" i="16" s="1"/>
  <c r="E20" i="12"/>
  <c r="G51" i="7"/>
  <c r="F55" i="7"/>
  <c r="F58" i="7"/>
  <c r="F36" i="7" l="1"/>
  <c r="G36" i="7" s="1"/>
  <c r="H36" i="7" s="1"/>
  <c r="I36" i="7" s="1"/>
  <c r="J36" i="7" s="1"/>
  <c r="K36" i="7" s="1"/>
  <c r="L36" i="7" s="1"/>
  <c r="M36" i="7" s="1"/>
  <c r="N36" i="7" s="1"/>
  <c r="O36" i="7" s="1"/>
  <c r="P36" i="7" s="1"/>
  <c r="Q36" i="7" s="1"/>
  <c r="R36" i="7" s="1"/>
  <c r="S36" i="7" s="1"/>
  <c r="T36" i="7" s="1"/>
  <c r="U36" i="7" s="1"/>
  <c r="V36" i="7" s="1"/>
  <c r="W36" i="7" s="1"/>
  <c r="X36" i="7" s="1"/>
  <c r="Y36" i="7" s="1"/>
  <c r="E43" i="7"/>
  <c r="E42" i="7"/>
  <c r="H51" i="7"/>
  <c r="G55" i="7"/>
  <c r="G58" i="7"/>
  <c r="G40" i="7"/>
  <c r="H40" i="7" s="1"/>
  <c r="I40" i="7" s="1"/>
  <c r="J40" i="7" s="1"/>
  <c r="K40" i="7" s="1"/>
  <c r="L40" i="7" s="1"/>
  <c r="M40" i="7" s="1"/>
  <c r="N40" i="7" s="1"/>
  <c r="O40" i="7" s="1"/>
  <c r="P40" i="7" s="1"/>
  <c r="Q40" i="7" s="1"/>
  <c r="R40" i="7" s="1"/>
  <c r="S40" i="7" s="1"/>
  <c r="T40" i="7" s="1"/>
  <c r="U40" i="7" s="1"/>
  <c r="V40" i="7" s="1"/>
  <c r="W40" i="7" s="1"/>
  <c r="X40" i="7" s="1"/>
  <c r="Y40" i="7" s="1"/>
  <c r="C32" i="13" l="1"/>
  <c r="E16" i="16"/>
  <c r="B32" i="13"/>
  <c r="E15" i="16"/>
  <c r="E46" i="7" a="1"/>
  <c r="E46" i="7" s="1"/>
  <c r="I51" i="7"/>
  <c r="H55" i="7"/>
  <c r="H58" i="7"/>
  <c r="E45" i="7" a="1"/>
  <c r="E45" i="7" s="1"/>
  <c r="J51" i="7" l="1"/>
  <c r="I55" i="7"/>
  <c r="I58" i="7"/>
  <c r="K51" i="7" l="1"/>
  <c r="J58" i="7"/>
  <c r="J55" i="7"/>
  <c r="L51" i="7" l="1"/>
  <c r="K55" i="7"/>
  <c r="K58" i="7"/>
  <c r="M51" i="7" l="1"/>
  <c r="L58" i="7"/>
  <c r="L55" i="7"/>
  <c r="N51" i="7" l="1"/>
  <c r="M58" i="7"/>
  <c r="M55" i="7"/>
  <c r="O51" i="7" l="1"/>
  <c r="N58" i="7"/>
  <c r="N55" i="7"/>
  <c r="P51" i="7" l="1"/>
  <c r="O58" i="7"/>
  <c r="O55" i="7"/>
  <c r="Q51" i="7" l="1"/>
  <c r="P58" i="7"/>
  <c r="P55" i="7"/>
  <c r="R51" i="7" l="1"/>
  <c r="Q55" i="7"/>
  <c r="Q58" i="7"/>
  <c r="S51" i="7" l="1"/>
  <c r="R55" i="7"/>
  <c r="R58" i="7"/>
  <c r="T51" i="7" l="1"/>
  <c r="S58" i="7"/>
  <c r="S55" i="7"/>
  <c r="U51" i="7" l="1"/>
  <c r="T55" i="7"/>
  <c r="T58" i="7"/>
  <c r="V51" i="7" l="1"/>
  <c r="U58" i="7"/>
  <c r="U55" i="7"/>
  <c r="W51" i="7" l="1"/>
  <c r="V58" i="7"/>
  <c r="V55" i="7"/>
  <c r="X51" i="7" l="1"/>
  <c r="W58" i="7"/>
  <c r="W55" i="7"/>
  <c r="Y51" i="7" l="1"/>
  <c r="X55" i="7"/>
  <c r="X58" i="7"/>
  <c r="Y55" i="7" l="1"/>
  <c r="Y58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<sst xmlns="http://schemas.openxmlformats.org/spreadsheetml/2006/main" count="359" uniqueCount="220">
  <si>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</si>
  <si>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</si>
  <si>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</si>
  <si>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</si>
  <si>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</si>
  <si>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</si>
  <si>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</si>
  <si>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</si>
  <si>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</si>
  <si>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</si>
  <si>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</si>
  <si>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</si>
  <si>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</si>
  <si>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</si>
  <si>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</si>
  <si>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</si>
  <si>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</si>
  <si>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</si>
  <si>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</si>
  <si>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</si>
  <si>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</si>
  <si>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</si>
  <si>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</si>
  <si>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MWh/a</t>
  </si>
  <si>
    <t>Period</t>
  </si>
  <si>
    <t>NPV (EUR)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</si>
  <si>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</si>
  <si>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</si>
  <si>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</si>
  <si>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</si>
  <si>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</si>
  <si>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</si>
  <si>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Termoizolacija omotača zgrade</t>
  </si>
  <si>
    <t>Projekat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</si>
  <si>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</si>
  <si>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</si>
  <si>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</si>
  <si>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</si>
  <si>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</si>
  <si>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</si>
  <si>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</si>
  <si>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</si>
  <si>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</si>
  <si>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</si>
  <si>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</si>
  <si>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</si>
  <si>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</si>
  <si>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</si>
  <si>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</si>
  <si>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</si>
  <si>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dozvole,ostalo)</t>
  </si>
  <si>
    <t>Nadzor i upravljanje projektom</t>
  </si>
  <si>
    <t>Nepredviđeni troškovi</t>
  </si>
  <si>
    <t>ESCO/DH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</si>
  <si>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</si>
  <si>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</si>
  <si>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</si>
  <si>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</si>
  <si>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</si>
  <si>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</si>
  <si>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</si>
  <si>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</si>
  <si>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Gorivo ili energija</t>
  </si>
  <si>
    <t>Kamatna stopa na sredstva iz kredita</t>
  </si>
  <si>
    <t>UNOS PODATAKA ZA PRORAČUN</t>
  </si>
  <si>
    <t>CO2 Taksa</t>
  </si>
  <si>
    <t>Konverzioni CO2 faktor - t/MWh primarne energije</t>
  </si>
  <si>
    <t>Ukupno:</t>
  </si>
  <si>
    <t>Ukupno uključujući PDV:</t>
  </si>
  <si>
    <t>UKUPNO:</t>
  </si>
  <si>
    <t>KREDIT:</t>
  </si>
  <si>
    <t>ENERGIJA I TROŠKOVI ENERGIJE</t>
  </si>
  <si>
    <t>Cena električne energije</t>
  </si>
  <si>
    <t>Cena toplote za krajnje kupce</t>
  </si>
  <si>
    <t>Efikasnost mreže daljinskog grejanja</t>
  </si>
  <si>
    <t>Broj radnih sati sa nominalnim kapacitetom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</si>
  <si>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</si>
  <si>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</si>
  <si>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</si>
  <si>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</si>
  <si>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</si>
  <si>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</si>
  <si>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</si>
  <si>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</si>
  <si>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Vremenski okvri projekta</t>
  </si>
  <si>
    <t>Kredit (EUR)</t>
  </si>
  <si>
    <t>Sopstveni kapital (EUR)</t>
  </si>
  <si>
    <t>Ukupni prihod (EUR)</t>
  </si>
  <si>
    <t>Troškovi finansiranja - kamate (EUR/a)</t>
  </si>
  <si>
    <t>Operativni troškovi (EUR/a)</t>
  </si>
  <si>
    <t>Troškovi održavanja (EUR/a)</t>
  </si>
  <si>
    <t>Ostalo (EUR/a)</t>
  </si>
  <si>
    <t>Udeo kupaca u uštedama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</si>
  <si>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</si>
  <si>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</si>
  <si>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</si>
  <si>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</si>
  <si>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</si>
  <si>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</si>
  <si>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</si>
  <si>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Finansijski troškovi - kamate (EUR/a)</t>
  </si>
  <si>
    <t>Ukupni godišnji troškovi (EUR/a)</t>
  </si>
  <si>
    <t>GRAF / CASH FLOW / FINANSIJSKI</t>
  </si>
  <si>
    <t>GRAF / CASH FLOW / EKONOMSKI</t>
  </si>
  <si>
    <t>LCoE Proračun</t>
  </si>
  <si>
    <t>Vremenski okvir</t>
  </si>
  <si>
    <t>Investicija (EUR)</t>
  </si>
  <si>
    <t>Operativni troškovi i održavanje (EUR)</t>
  </si>
  <si>
    <t>Ukupni troškovi (EUR)</t>
  </si>
  <si>
    <t>ANALIZA OSTELJIVOSTI</t>
  </si>
  <si>
    <t>Građevinska adaptacija prostora</t>
  </si>
  <si>
    <t>Rekonstrukcija elektro instalacije</t>
  </si>
  <si>
    <t>SCADA i upravljački sistem</t>
  </si>
  <si>
    <t>Tehnički prijem i primopredaja</t>
  </si>
  <si>
    <t>Efikasnost toplotnog izvora</t>
  </si>
  <si>
    <t>Kapacitet toplotne podstanice</t>
  </si>
  <si>
    <t>EUR/a</t>
  </si>
  <si>
    <t>t/a</t>
  </si>
  <si>
    <t>Uštede u novcu (EUR/a)</t>
  </si>
  <si>
    <t>Priključenje novog objekta</t>
  </si>
  <si>
    <t>Izgradnja dela distributivne mreže</t>
  </si>
  <si>
    <t>Izgradnja priključnih cevovoda</t>
  </si>
  <si>
    <t>Nabavka toplotne podstanice</t>
  </si>
  <si>
    <t>Ugradnja toplotne podstanice</t>
  </si>
  <si>
    <t>Rekonstrukcija unutrašnje instalacije grejanja</t>
  </si>
  <si>
    <t>Isporučena toplota</t>
  </si>
  <si>
    <t>Grejana površina objekta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</si>
  <si>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</si>
  <si>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Gorivo ili energija koje se koristilo pre projekta</t>
  </si>
  <si>
    <t>Jedinična cena fiksnog dela za krajnje kupce</t>
  </si>
  <si>
    <t>RSD/m2</t>
  </si>
  <si>
    <r>
      <t>RSD/m</t>
    </r>
    <r>
      <rPr>
        <vertAlign val="superscript"/>
        <sz val="11"/>
        <color theme="1"/>
        <rFont val="Calibri"/>
        <family val="2"/>
        <scheme val="minor"/>
      </rPr>
      <t>2</t>
    </r>
  </si>
  <si>
    <t>Fiksni deo se obračunava u RSD/m2 ili RSD/MW</t>
  </si>
  <si>
    <t>Obračun fiksnog dela</t>
  </si>
  <si>
    <t>RSD/kW</t>
  </si>
  <si>
    <t>Mesečni prihodi od krajnjih korisnika</t>
  </si>
  <si>
    <t>Prihod od fiksnog dela cene grejanja (EUR/a)</t>
  </si>
  <si>
    <t>Isporučena toplota (MWh/a)</t>
  </si>
  <si>
    <t>NAZAD</t>
  </si>
  <si>
    <t>DALJE</t>
  </si>
  <si>
    <t>Miks goriva</t>
  </si>
  <si>
    <t>REZIME PROJEKTA</t>
  </si>
  <si>
    <t>GRAFIK / CASH FLOW / FINANSIJSKI</t>
  </si>
  <si>
    <t>ESCO INVESTICIJA</t>
  </si>
  <si>
    <t>Udeo prihoda ako gradi ESCO (EUR/a)</t>
  </si>
  <si>
    <t>Diskontovana vrednost udela (EUR/a)</t>
  </si>
  <si>
    <t>IRR (EUR)</t>
  </si>
  <si>
    <t>N/A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</si>
  <si>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</si>
  <si>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</si>
  <si>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</si>
  <si>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</si>
  <si>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</si>
  <si>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</si>
  <si>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</si>
  <si>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</si>
  <si>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</si>
  <si>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</si>
  <si>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</si>
  <si>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ANALIZA SA UKLJUČENIM CO₂</t>
  </si>
  <si>
    <t>Toplota iz toplana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</si>
  <si>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</si>
  <si>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</si>
  <si>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</si>
  <si>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</si>
  <si>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</si>
  <si>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</si>
  <si>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</si>
  <si>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</si>
  <si>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</si>
  <si>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</si>
  <si>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</si>
  <si>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</si>
  <si>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</si>
  <si>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</si>
  <si>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</si>
  <si>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</si>
  <si>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</si>
  <si>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</si>
  <si>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</si>
  <si>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</si>
  <si>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</si>
  <si>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</si>
  <si>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</si>
  <si>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</si>
  <si>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</si>
  <si>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</si>
  <si>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</si>
  <si>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</si>
  <si>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</si>
  <si>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</si>
  <si>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</si>
  <si>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</si>
  <si>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</si>
  <si>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Jedinična cena fiksnog dela</t>
  </si>
  <si>
    <r>
      <t>Jedinična cena fiksnog dela + CO</t>
    </r>
    <r>
      <rPr>
        <b/>
        <sz val="11"/>
        <color theme="1"/>
        <rFont val="Calibri"/>
        <family val="2"/>
      </rPr>
      <t>₂</t>
    </r>
  </si>
  <si>
    <t>Investicije + CO₂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</si>
  <si>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</si>
  <si>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</si>
  <si>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</si>
  <si>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</si>
  <si>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</si>
  <si>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</si>
  <si>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</si>
  <si>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</si>
  <si>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</si>
  <si>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</si>
  <si>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</si>
  <si>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</si>
  <si>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</si>
  <si>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</si>
  <si>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</si>
  <si>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</si>
  <si>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</si>
  <si>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</si>
  <si>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</si>
  <si>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</si>
  <si>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</si>
  <si>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</si>
  <si>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rgb="FFFFFFFF"/>
        <rFont val="Calibri"/>
        <family val="2"/>
        <scheme val="minor"/>
      </rPr>
      <t>2</t>
    </r>
    <r>
      <rPr>
        <sz val="11"/>
        <color rgb="FFFFFFFF"/>
        <rFont val="Calibri"/>
        <family val="2"/>
        <scheme val="minor"/>
      </rPr>
      <t xml:space="preserve">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</si>
</sst>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#,##0.00_ ;[Red]\-#,##0.00\ "/>
    <numFmt numFmtId="166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vertAlign val="subscript"/>
      <sz val="11"/>
      <color rgb="FFFFFFFF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79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0" xfId="0" applyFont="1" applyFill="1"/>
    <xf numFmtId="0" fontId="0" fillId="6" borderId="0" xfId="0" applyFill="1"/>
    <xf numFmtId="164" fontId="0" fillId="0" borderId="0" xfId="0" applyNumberFormat="1"/>
    <xf numFmtId="0" fontId="0" fillId="5" borderId="0" xfId="0" applyFill="1"/>
    <xf numFmtId="4" fontId="0" fillId="5" borderId="0" xfId="0" applyNumberFormat="1" applyFill="1"/>
    <xf numFmtId="0" fontId="0" fillId="10" borderId="0" xfId="0" applyFill="1" applyAlignment="1">
      <alignment horizontal="left"/>
    </xf>
    <xf numFmtId="0" fontId="15" fillId="0" borderId="0" xfId="0" applyFont="1" applyAlignment="1">
      <alignment horizontal="left"/>
    </xf>
    <xf numFmtId="0" fontId="15" fillId="10" borderId="0" xfId="0" applyFont="1" applyFill="1" applyAlignment="1">
      <alignment horizontal="left"/>
    </xf>
    <xf numFmtId="165" fontId="0" fillId="10" borderId="0" xfId="0" applyNumberFormat="1" applyFill="1"/>
    <xf numFmtId="0" fontId="0" fillId="10" borderId="0" xfId="0" applyFill="1"/>
    <xf numFmtId="10" fontId="0" fillId="10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5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5" fontId="0" fillId="0" borderId="0" xfId="2" applyNumberFormat="1" applyFont="1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6" fontId="15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9" fillId="0" borderId="0" xfId="0" applyFont="1"/>
    <xf numFmtId="0" fontId="10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9" fillId="7" borderId="0" xfId="1" applyFont="1" applyFill="1" applyAlignment="1" applyProtection="1">
      <alignment horizontal="center" vertical="distributed"/>
      <protection locked="0"/>
    </xf>
    <xf numFmtId="0" fontId="9" fillId="8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1" fillId="9" borderId="0" xfId="0" applyFont="1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" fillId="4" borderId="0" xfId="0" applyFont="1" applyFill="1" applyAlignment="1">
      <alignment horizontal="left"/>
    </xf>
    <xf numFmtId="10" fontId="0" fillId="0" borderId="0" xfId="0" applyNumberFormat="1" applyAlignment="1">
      <alignment horizontal="center"/>
    </xf>
    <xf numFmtId="0" fontId="12" fillId="9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FinaIndikatori!$A$55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FinaIndikatori!$E$55:$Y$55</c:f>
              <c:numCache>
                <c:formatCode>#,##0.00</c:formatCode>
                <c:ptCount val="21"/>
                <c:pt idx="1">
                  <c:v>-90451.746018535603</c:v>
                </c:pt>
                <c:pt idx="2">
                  <c:v>-84248.63472834861</c:v>
                </c:pt>
                <c:pt idx="3">
                  <c:v>-76003.489854564206</c:v>
                </c:pt>
                <c:pt idx="4">
                  <c:v>-65928.20225887651</c:v>
                </c:pt>
                <c:pt idx="5">
                  <c:v>-54212.764378006774</c:v>
                </c:pt>
                <c:pt idx="6">
                  <c:v>-28846.74455257869</c:v>
                </c:pt>
                <c:pt idx="7">
                  <c:v>-3226.1480714729987</c:v>
                </c:pt>
                <c:pt idx="8">
                  <c:v>22622.711003394856</c:v>
                </c:pt>
                <c:pt idx="9">
                  <c:v>48676.238536854682</c:v>
                </c:pt>
                <c:pt idx="10">
                  <c:v>74913.279177968303</c:v>
                </c:pt>
                <c:pt idx="11">
                  <c:v>101314.86427753163</c:v>
                </c:pt>
                <c:pt idx="12">
                  <c:v>127863.98586183251</c:v>
                </c:pt>
                <c:pt idx="13">
                  <c:v>154545.39396938556</c:v>
                </c:pt>
                <c:pt idx="14">
                  <c:v>181345.41493575295</c:v>
                </c:pt>
                <c:pt idx="15">
                  <c:v>208251.78846117351</c:v>
                </c:pt>
                <c:pt idx="16">
                  <c:v>235253.52151953356</c:v>
                </c:pt>
                <c:pt idx="17">
                  <c:v>262340.75736789132</c:v>
                </c:pt>
                <c:pt idx="18">
                  <c:v>289504.6580957009</c:v>
                </c:pt>
                <c:pt idx="19">
                  <c:v>316737.29931421881</c:v>
                </c:pt>
                <c:pt idx="20">
                  <c:v>344031.57573123428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7F-4CE2-B750-3D7442DB7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58920192"/>
        <c:axId val="223505792"/>
      </c:barChart>
      <c:lineChart>
        <c:grouping val="standard"/>
        <c:varyColors val="0"/>
        <c:ser>
          <c:idx val="0"/>
          <c:order val="0"/>
          <c:tx>
            <c:strRef>
              <c:f>FinaIndikatori!$A$58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FinaIndikatori!$E$58:$Y$58</c:f>
              <c:numCache>
                <c:formatCode>#,##0.00</c:formatCode>
                <c:ptCount val="21"/>
                <c:pt idx="0">
                  <c:v>84500</c:v>
                </c:pt>
                <c:pt idx="1">
                  <c:v>115404.16994827855</c:v>
                </c:pt>
                <c:pt idx="2">
                  <c:v>137029.99256437353</c:v>
                </c:pt>
                <c:pt idx="3">
                  <c:v>156613.78159687109</c:v>
                </c:pt>
                <c:pt idx="4">
                  <c:v>174367.42790746538</c:v>
                </c:pt>
                <c:pt idx="5">
                  <c:v>190480.9239328776</c:v>
                </c:pt>
                <c:pt idx="6">
                  <c:v>192943.8380137315</c:v>
                </c:pt>
                <c:pt idx="7">
                  <c:v>195152.17543890778</c:v>
                </c:pt>
                <c:pt idx="8">
                  <c:v>197132.25027032191</c:v>
                </c:pt>
                <c:pt idx="9">
                  <c:v>198907.65664314406</c:v>
                </c:pt>
                <c:pt idx="10">
                  <c:v>200499.54990831242</c:v>
                </c:pt>
                <c:pt idx="11">
                  <c:v>201926.89871503104</c:v>
                </c:pt>
                <c:pt idx="12">
                  <c:v>203206.71103701211</c:v>
                </c:pt>
                <c:pt idx="13">
                  <c:v>204354.236835741</c:v>
                </c:pt>
                <c:pt idx="14">
                  <c:v>205383.14977565556</c:v>
                </c:pt>
                <c:pt idx="15">
                  <c:v>206305.71015651696</c:v>
                </c:pt>
                <c:pt idx="16">
                  <c:v>207132.91100443885</c:v>
                </c:pt>
                <c:pt idx="17">
                  <c:v>207874.60906236304</c:v>
                </c:pt>
                <c:pt idx="18">
                  <c:v>208539.64224083538</c:v>
                </c:pt>
                <c:pt idx="19">
                  <c:v>209135.93492859948</c:v>
                </c:pt>
                <c:pt idx="20">
                  <c:v>209670.59241786596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07F-4CE2-B750-3D7442DB7AFE}"/>
            </c:ext>
          </c:extLst>
        </c:ser>
        <c:ser>
          <c:idx val="1"/>
          <c:order val="1"/>
          <c:tx>
            <c:strRef>
              <c:f>FinaIndikatori!$A$59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FinaIndikatori!$E$59:$Y$59</c:f>
              <c:numCache>
                <c:formatCode>#,##0.00</c:formatCode>
                <c:ptCount val="21"/>
                <c:pt idx="1">
                  <c:v>24952.423929742941</c:v>
                </c:pt>
                <c:pt idx="2">
                  <c:v>52781.357836024916</c:v>
                </c:pt>
                <c:pt idx="3">
                  <c:v>80610.291742306887</c:v>
                </c:pt>
                <c:pt idx="4">
                  <c:v>108439.22564858886</c:v>
                </c:pt>
                <c:pt idx="5">
                  <c:v>136268.15955487083</c:v>
                </c:pt>
                <c:pt idx="6">
                  <c:v>164097.09346115281</c:v>
                </c:pt>
                <c:pt idx="7">
                  <c:v>191926.02736743478</c:v>
                </c:pt>
                <c:pt idx="8">
                  <c:v>219754.96127371676</c:v>
                </c:pt>
                <c:pt idx="9">
                  <c:v>247583.89517999874</c:v>
                </c:pt>
                <c:pt idx="10">
                  <c:v>275412.82908628072</c:v>
                </c:pt>
                <c:pt idx="11">
                  <c:v>303241.76299256267</c:v>
                </c:pt>
                <c:pt idx="12">
                  <c:v>331070.69689884462</c:v>
                </c:pt>
                <c:pt idx="13">
                  <c:v>358899.63080512657</c:v>
                </c:pt>
                <c:pt idx="14">
                  <c:v>386728.56471140851</c:v>
                </c:pt>
                <c:pt idx="15">
                  <c:v>414557.49861769046</c:v>
                </c:pt>
                <c:pt idx="16">
                  <c:v>442386.43252397241</c:v>
                </c:pt>
                <c:pt idx="17">
                  <c:v>470215.36643025436</c:v>
                </c:pt>
                <c:pt idx="18">
                  <c:v>498044.30033653631</c:v>
                </c:pt>
                <c:pt idx="19">
                  <c:v>525873.23424281832</c:v>
                </c:pt>
                <c:pt idx="20">
                  <c:v>553702.16814910027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07F-4CE2-B750-3D7442DB7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58920192"/>
        <c:axId val="223505792"/>
      </c:lineChart>
      <c:catAx>
        <c:axId val="158920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5792"/>
        <c:crosses val="autoZero"/>
        <c:auto val="1"/>
        <c:lblAlgn val="ctr"/>
        <c:lblOffset val="100"/>
        <c:noMultiLvlLbl val="0"/>
      </c:catAx>
      <c:valAx>
        <c:axId val="22350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92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-84371.735967547793</c:v>
                </c:pt>
                <c:pt idx="2">
                  <c:v>-78172.761167161094</c:v>
                </c:pt>
                <c:pt idx="3">
                  <c:v>-72807.835195576496</c:v>
                </c:pt>
                <c:pt idx="4">
                  <c:v>-68191.565526612932</c:v>
                </c:pt>
                <c:pt idx="5">
                  <c:v>-64247.389609778882</c:v>
                </c:pt>
                <c:pt idx="6">
                  <c:v>-48725.872988684074</c:v>
                </c:pt>
                <c:pt idx="7">
                  <c:v>-34808.722440754471</c:v>
                </c:pt>
                <c:pt idx="8">
                  <c:v>-22330.104268191149</c:v>
                </c:pt>
                <c:pt idx="9">
                  <c:v>-11141.326007845841</c:v>
                </c:pt>
                <c:pt idx="10">
                  <c:v>-1109.0646446103055</c:v>
                </c:pt>
                <c:pt idx="11">
                  <c:v>7886.2220362397202</c:v>
                </c:pt>
                <c:pt idx="12">
                  <c:v>15951.719887721294</c:v>
                </c:pt>
                <c:pt idx="13">
                  <c:v>23183.535604138975</c:v>
                </c:pt>
                <c:pt idx="14">
                  <c:v>29667.841907266789</c:v>
                </c:pt>
                <c:pt idx="15">
                  <c:v>35481.904361503519</c:v>
                </c:pt>
                <c:pt idx="16">
                  <c:v>40695.002053304343</c:v>
                </c:pt>
                <c:pt idx="17">
                  <c:v>45369.253105502052</c:v>
                </c:pt>
                <c:pt idx="18">
                  <c:v>49560.354863164248</c:v>
                </c:pt>
                <c:pt idx="19">
                  <c:v>53318.247570878506</c:v>
                </c:pt>
                <c:pt idx="20">
                  <c:v>56610.297897450393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0A-4BE4-B4C1-E064409D1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4547584"/>
        <c:axId val="223509824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84500</c:v>
                </c:pt>
                <c:pt idx="1">
                  <c:v>116477.11289845288</c:v>
                </c:pt>
                <c:pt idx="2">
                  <c:v>139064.97478760587</c:v>
                </c:pt>
                <c:pt idx="3">
                  <c:v>159511.36286393477</c:v>
                </c:pt>
                <c:pt idx="4">
                  <c:v>178038.44652917425</c:v>
                </c:pt>
                <c:pt idx="5">
                  <c:v>194845.43432905397</c:v>
                </c:pt>
                <c:pt idx="6">
                  <c:v>197930.15809929726</c:v>
                </c:pt>
                <c:pt idx="7">
                  <c:v>200696.0324759614</c:v>
                </c:pt>
                <c:pt idx="8">
                  <c:v>203176.01500836297</c:v>
                </c:pt>
                <c:pt idx="9">
                  <c:v>205399.65662162911</c:v>
                </c:pt>
                <c:pt idx="10">
                  <c:v>207393.45373900663</c:v>
                </c:pt>
                <c:pt idx="11">
                  <c:v>209181.16400740008</c:v>
                </c:pt>
                <c:pt idx="12">
                  <c:v>210784.0893882548</c:v>
                </c:pt>
                <c:pt idx="13">
                  <c:v>212221.3299870333</c:v>
                </c:pt>
                <c:pt idx="14">
                  <c:v>213510.01164586117</c:v>
                </c:pt>
                <c:pt idx="15">
                  <c:v>214665.4900112864</c:v>
                </c:pt>
                <c:pt idx="16">
                  <c:v>215701.53350877835</c:v>
                </c:pt>
                <c:pt idx="17">
                  <c:v>216630.48740425031</c:v>
                </c:pt>
                <c:pt idx="18">
                  <c:v>217463.42090752657</c:v>
                </c:pt>
                <c:pt idx="19">
                  <c:v>218210.25907060629</c:v>
                </c:pt>
                <c:pt idx="20">
                  <c:v>218957.31260464177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0A-4BE4-B4C1-E064409D17EA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32105.376930905088</c:v>
                </c:pt>
                <c:pt idx="2">
                  <c:v>60892.213620444774</c:v>
                </c:pt>
                <c:pt idx="3">
                  <c:v>86703.527668358278</c:v>
                </c:pt>
                <c:pt idx="4">
                  <c:v>109846.88100256132</c:v>
                </c:pt>
                <c:pt idx="5">
                  <c:v>130598.04471927509</c:v>
                </c:pt>
                <c:pt idx="6">
                  <c:v>149204.28511061319</c:v>
                </c:pt>
                <c:pt idx="7">
                  <c:v>165887.31003520693</c:v>
                </c:pt>
                <c:pt idx="8">
                  <c:v>180845.91074017182</c:v>
                </c:pt>
                <c:pt idx="9">
                  <c:v>194258.33061378327</c:v>
                </c:pt>
                <c:pt idx="10">
                  <c:v>206284.38909439632</c:v>
                </c:pt>
                <c:pt idx="11">
                  <c:v>217067.3860436398</c:v>
                </c:pt>
                <c:pt idx="12">
                  <c:v>226735.80927597609</c:v>
                </c:pt>
                <c:pt idx="13">
                  <c:v>235404.86559117227</c:v>
                </c:pt>
                <c:pt idx="14">
                  <c:v>243177.85355312796</c:v>
                </c:pt>
                <c:pt idx="15">
                  <c:v>250147.39437278992</c:v>
                </c:pt>
                <c:pt idx="16">
                  <c:v>256396.53556208269</c:v>
                </c:pt>
                <c:pt idx="17">
                  <c:v>261999.74050975236</c:v>
                </c:pt>
                <c:pt idx="18">
                  <c:v>267023.77577069082</c:v>
                </c:pt>
                <c:pt idx="19">
                  <c:v>271528.5066414848</c:v>
                </c:pt>
                <c:pt idx="20">
                  <c:v>275567.61050209217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20A-4BE4-B4C1-E064409D1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4547584"/>
        <c:axId val="223509824"/>
      </c:lineChart>
      <c:catAx>
        <c:axId val="164547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9824"/>
        <c:crosses val="autoZero"/>
        <c:auto val="1"/>
        <c:lblAlgn val="ctr"/>
        <c:lblOffset val="100"/>
        <c:noMultiLvlLbl val="0"/>
      </c:catAx>
      <c:valAx>
        <c:axId val="22350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547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Jedinična cena fiksnog dela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#.##000_ ;[Red]\-#.##000\ </c:formatCode>
                <c:ptCount val="2"/>
                <c:pt idx="0">
                  <c:v>-1656.0857655394386</c:v>
                </c:pt>
                <c:pt idx="1">
                  <c:v>-28540.918830956616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131-443C-A401-FAF000A9C7E4}"/>
            </c:ext>
          </c:extLst>
        </c:ser>
        <c:ser>
          <c:idx val="1"/>
          <c:order val="1"/>
          <c:tx>
            <c:strRef>
              <c:f>Osetljivost!$U$13</c:f>
              <c:strCache>
                <c:ptCount val="1"/>
                <c:pt idx="0">
                  <c:v>Jedinična cena fiksnog dela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Osetljivost!$D$15:$D$16</c:f>
              <c:numCache>
                <c:formatCode>#.##000_ ;[Red]\-#.##000\ </c:formatCode>
                <c:ptCount val="2"/>
                <c:pt idx="0">
                  <c:v>36739.616583479437</c:v>
                </c:pt>
                <c:pt idx="1">
                  <c:v>9854.783518062266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131-443C-A401-FAF000A9C7E4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#.##000_ ;[Red]\-#.##000\ </c:formatCode>
                <c:ptCount val="2"/>
                <c:pt idx="0">
                  <c:v>27150.652282555689</c:v>
                </c:pt>
                <c:pt idx="1">
                  <c:v>19443.747818986001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131-443C-A401-FAF000A9C7E4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#.##000_ ;[Red]\-#.##000\ </c:formatCode>
                <c:ptCount val="2"/>
                <c:pt idx="0">
                  <c:v>-30860.023979630529</c:v>
                </c:pt>
                <c:pt idx="1">
                  <c:v>760.2993687974822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6131-443C-A401-FAF000A9C7E4}"/>
            </c:ext>
          </c:extLst>
        </c:ser>
        <c:ser>
          <c:idx val="4"/>
          <c:order val="4"/>
          <c:tx>
            <c:strRef>
              <c:f>Osetljivost!$U$14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#.##000_ ;[Red]\-#.##000\ </c:formatCode>
                <c:ptCount val="2"/>
                <c:pt idx="0">
                  <c:v>7402.7494152196268</c:v>
                </c:pt>
                <c:pt idx="1">
                  <c:v>39316.428610058392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6131-443C-A401-FAF000A9C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307776"/>
        <c:axId val="68949056"/>
      </c:lineChart>
      <c:catAx>
        <c:axId val="22330777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49056"/>
        <c:crosses val="autoZero"/>
        <c:auto val="1"/>
        <c:lblAlgn val="ctr"/>
        <c:lblOffset val="100"/>
        <c:noMultiLvlLbl val="0"/>
      </c:catAx>
      <c:valAx>
        <c:axId val="6894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00_ ;[Red]\-#.##0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30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227-4F35-B01F-07BBCAED4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392384"/>
        <c:axId val="69004096"/>
        <c:extLst xmlns:c16r2="http://schemas.microsoft.com/office/drawing/2015/06/chart"/>
      </c:lineChart>
      <c:catAx>
        <c:axId val="69392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04096"/>
        <c:crosses val="autoZero"/>
        <c:auto val="1"/>
        <c:lblAlgn val="ctr"/>
        <c:lblOffset val="100"/>
        <c:noMultiLvlLbl val="0"/>
      </c:catAx>
      <c:valAx>
        <c:axId val="6900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92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chart" Target="../charts/chart4.xml"/><Relationship Id="rId4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95250</xdr:rowOff>
    </xdr:from>
    <xdr:to>
      <xdr:col>2</xdr:col>
      <xdr:colOff>219875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200025</xdr:colOff>
      <xdr:row>6</xdr:row>
      <xdr:rowOff>104775</xdr:rowOff>
    </xdr:from>
    <xdr:to>
      <xdr:col>11</xdr:col>
      <xdr:colOff>638975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20050" y="104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28</xdr:row>
      <xdr:rowOff>0</xdr:rowOff>
    </xdr:from>
    <xdr:to>
      <xdr:col>2</xdr:col>
      <xdr:colOff>534200</xdr:colOff>
      <xdr:row>29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107950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8</xdr:col>
      <xdr:colOff>209550</xdr:colOff>
      <xdr:row>13</xdr:row>
      <xdr:rowOff>80962</xdr:rowOff>
    </xdr:from>
    <xdr:to>
      <xdr:col>15</xdr:col>
      <xdr:colOff>514350</xdr:colOff>
      <xdr:row>27</xdr:row>
      <xdr:rowOff>157162</xdr:rowOff>
    </xdr:to>
    <xdr:graphicFrame macro="">
      <xdr:nvGraphicFramePr>
        <xdr:cNvPr id="7" name="Chart 6">
          <a:extLst>
            <a:ext uri="{FF2B5EF4-FFF2-40B4-BE49-F238E27FC236}">
              <a16:creationId xmlns="" xmlns:a16="http://schemas.microsoft.com/office/drawing/2014/main" id="{A7003D08-66A6-9E1F-0B3E-2A17548208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269875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9525</xdr:colOff>
      <xdr:row>0</xdr:row>
      <xdr:rowOff>171450</xdr:rowOff>
    </xdr:from>
    <xdr:to>
      <xdr:col>8</xdr:col>
      <xdr:colOff>588645</xdr:colOff>
      <xdr:row>3</xdr:row>
      <xdr:rowOff>179070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1714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95250</xdr:colOff>
      <xdr:row>11</xdr:row>
      <xdr:rowOff>0</xdr:rowOff>
    </xdr:from>
    <xdr:to>
      <xdr:col>15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0</xdr:rowOff>
    </xdr:from>
    <xdr:to>
      <xdr:col>10</xdr:col>
      <xdr:colOff>524675</xdr:colOff>
      <xdr:row>13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250026</xdr:colOff>
      <xdr:row>6</xdr:row>
      <xdr:rowOff>23812</xdr:rowOff>
    </xdr:from>
    <xdr:to>
      <xdr:col>11</xdr:col>
      <xdr:colOff>688976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6932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28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250028</xdr:colOff>
      <xdr:row>6</xdr:row>
      <xdr:rowOff>23812</xdr:rowOff>
    </xdr:from>
    <xdr:to>
      <xdr:col>11</xdr:col>
      <xdr:colOff>688978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5028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7156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13</xdr:row>
      <xdr:rowOff>9525</xdr:rowOff>
    </xdr:from>
    <xdr:to>
      <xdr:col>2</xdr:col>
      <xdr:colOff>229400</xdr:colOff>
      <xdr:row>15</xdr:row>
      <xdr:rowOff>18703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3430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Q14" sqref="Q14:R15"/>
    </sheetView>
  </sheetViews>
  <sheetFormatPr defaultRowHeight="15" x14ac:dyDescent="0.25"/>
  <sheetData>
    <row r="3" spans="2:18" ht="16.5" x14ac:dyDescent="0.35">
      <c r="F3" s="55" t="s">
        <v>158</v>
      </c>
      <c r="G3" s="55"/>
      <c r="H3" s="55"/>
      <c r="I3" s="55"/>
    </row>
    <row r="7" spans="2:18" x14ac:dyDescent="0.25">
      <c r="B7" s="56" t="s">
        <v>0</v>
      </c>
      <c r="C7" s="56"/>
      <c r="D7" s="56"/>
      <c r="E7" s="56"/>
      <c r="F7" s="56"/>
      <c r="G7" s="56"/>
      <c r="H7" s="56"/>
      <c r="I7" s="56"/>
      <c r="J7" s="56"/>
      <c r="K7" s="56"/>
    </row>
    <row r="8" spans="2:18" x14ac:dyDescent="0.25"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2:18" x14ac:dyDescent="0.25">
      <c r="B9" s="56"/>
      <c r="C9" s="56"/>
      <c r="D9" s="56"/>
      <c r="E9" s="56"/>
      <c r="F9" s="56"/>
      <c r="G9" s="56"/>
      <c r="H9" s="56"/>
      <c r="I9" s="56"/>
      <c r="J9" s="56"/>
      <c r="K9" s="56"/>
      <c r="M9" s="57" t="s">
        <v>2</v>
      </c>
      <c r="N9" s="57"/>
      <c r="O9" s="57"/>
      <c r="P9" s="57"/>
      <c r="Q9" s="57"/>
      <c r="R9" s="57"/>
    </row>
    <row r="10" spans="2:18" x14ac:dyDescent="0.25">
      <c r="B10" s="56"/>
      <c r="C10" s="56"/>
      <c r="D10" s="56"/>
      <c r="E10" s="56"/>
      <c r="F10" s="56"/>
      <c r="G10" s="56"/>
      <c r="H10" s="56"/>
      <c r="I10" s="56"/>
      <c r="J10" s="56"/>
      <c r="K10" s="56"/>
      <c r="M10" s="57"/>
      <c r="N10" s="57"/>
      <c r="O10" s="57"/>
      <c r="P10" s="57"/>
      <c r="Q10" s="57"/>
      <c r="R10" s="57"/>
    </row>
    <row r="11" spans="2:18" x14ac:dyDescent="0.25"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2:18" x14ac:dyDescent="0.25">
      <c r="B12" s="56"/>
      <c r="C12" s="56"/>
      <c r="D12" s="56"/>
      <c r="E12" s="56"/>
      <c r="F12" s="56"/>
      <c r="G12" s="56"/>
      <c r="H12" s="56"/>
      <c r="I12" s="56"/>
      <c r="J12" s="56"/>
      <c r="K12" s="56"/>
      <c r="M12" s="58" t="s">
        <v>119</v>
      </c>
      <c r="N12" s="58"/>
      <c r="O12" s="58"/>
      <c r="P12" s="58"/>
      <c r="Q12" s="58"/>
      <c r="R12" s="58"/>
    </row>
    <row r="13" spans="2:18" x14ac:dyDescent="0.25"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14" spans="2:18" x14ac:dyDescent="0.25">
      <c r="B14" s="56"/>
      <c r="C14" s="56"/>
      <c r="D14" s="56"/>
      <c r="E14" s="56"/>
      <c r="F14" s="56"/>
      <c r="G14" s="56"/>
      <c r="H14" s="56"/>
      <c r="I14" s="56"/>
      <c r="J14" s="56"/>
      <c r="K14" s="56"/>
      <c r="M14" s="59" t="s">
        <v>138</v>
      </c>
      <c r="N14" s="59"/>
      <c r="Q14" s="60" t="s">
        <v>139</v>
      </c>
      <c r="R14" s="60"/>
    </row>
    <row r="15" spans="2:18" x14ac:dyDescent="0.25">
      <c r="B15" s="56"/>
      <c r="C15" s="56"/>
      <c r="D15" s="56"/>
      <c r="E15" s="56"/>
      <c r="F15" s="56"/>
      <c r="G15" s="56"/>
      <c r="H15" s="56"/>
      <c r="I15" s="56"/>
      <c r="J15" s="56"/>
      <c r="K15" s="56"/>
      <c r="M15" s="59"/>
      <c r="N15" s="59"/>
      <c r="Q15" s="60"/>
      <c r="R15" s="60"/>
    </row>
    <row r="16" spans="2:18" x14ac:dyDescent="0.25">
      <c r="B16" s="56"/>
      <c r="C16" s="56"/>
      <c r="D16" s="56"/>
      <c r="E16" s="56"/>
      <c r="F16" s="56"/>
      <c r="G16" s="56"/>
      <c r="H16" s="56"/>
      <c r="I16" s="56"/>
      <c r="J16" s="56"/>
      <c r="K16" s="56"/>
    </row>
    <row r="17" spans="2:11" x14ac:dyDescent="0.25">
      <c r="B17" s="56"/>
      <c r="C17" s="56"/>
      <c r="D17" s="56"/>
      <c r="E17" s="56"/>
      <c r="F17" s="56"/>
      <c r="G17" s="56"/>
      <c r="H17" s="56"/>
      <c r="I17" s="56"/>
      <c r="J17" s="56"/>
      <c r="K17" s="56"/>
    </row>
    <row r="18" spans="2:11" x14ac:dyDescent="0.25">
      <c r="B18" s="56"/>
      <c r="C18" s="56"/>
      <c r="D18" s="56"/>
      <c r="E18" s="56"/>
      <c r="F18" s="56"/>
      <c r="G18" s="56"/>
      <c r="H18" s="56"/>
      <c r="I18" s="56"/>
      <c r="J18" s="56"/>
      <c r="K18" s="56"/>
    </row>
    <row r="19" spans="2:11" x14ac:dyDescent="0.25">
      <c r="B19" s="56"/>
      <c r="C19" s="56"/>
      <c r="D19" s="56"/>
      <c r="E19" s="56"/>
      <c r="F19" s="56"/>
      <c r="G19" s="56"/>
      <c r="H19" s="56"/>
      <c r="I19" s="56"/>
      <c r="J19" s="56"/>
      <c r="K19" s="56"/>
    </row>
    <row r="20" spans="2:11" x14ac:dyDescent="0.25">
      <c r="B20" s="56"/>
      <c r="C20" s="56"/>
      <c r="D20" s="56"/>
      <c r="E20" s="56"/>
      <c r="F20" s="56"/>
      <c r="G20" s="56"/>
      <c r="H20" s="56"/>
      <c r="I20" s="56"/>
      <c r="J20" s="56"/>
      <c r="K20" s="56"/>
    </row>
    <row r="21" spans="2:11" x14ac:dyDescent="0.25">
      <c r="B21" s="56"/>
      <c r="C21" s="56"/>
      <c r="D21" s="56"/>
      <c r="E21" s="56"/>
      <c r="F21" s="56"/>
      <c r="G21" s="56"/>
      <c r="H21" s="56"/>
      <c r="I21" s="56"/>
      <c r="J21" s="56"/>
      <c r="K21" s="56"/>
    </row>
    <row r="22" spans="2:11" x14ac:dyDescent="0.25">
      <c r="B22" s="56"/>
      <c r="C22" s="56"/>
      <c r="D22" s="56"/>
      <c r="E22" s="56"/>
      <c r="F22" s="56"/>
      <c r="G22" s="56"/>
      <c r="H22" s="56"/>
      <c r="I22" s="56"/>
      <c r="J22" s="56"/>
      <c r="K22" s="56"/>
    </row>
    <row r="23" spans="2:11" x14ac:dyDescent="0.25">
      <c r="B23" s="56"/>
      <c r="C23" s="56"/>
      <c r="D23" s="56"/>
      <c r="E23" s="56"/>
      <c r="F23" s="56"/>
      <c r="G23" s="56"/>
      <c r="H23" s="56"/>
      <c r="I23" s="56"/>
      <c r="J23" s="56"/>
      <c r="K23" s="56"/>
    </row>
    <row r="24" spans="2:11" x14ac:dyDescent="0.25">
      <c r="B24" s="56"/>
      <c r="C24" s="56"/>
      <c r="D24" s="56"/>
      <c r="E24" s="56"/>
      <c r="F24" s="56"/>
      <c r="G24" s="56"/>
      <c r="H24" s="56"/>
      <c r="I24" s="56"/>
      <c r="J24" s="56"/>
      <c r="K24" s="56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I12"/>
  <sheetViews>
    <sheetView workbookViewId="0">
      <selection activeCell="D15" sqref="D15"/>
    </sheetView>
  </sheetViews>
  <sheetFormatPr defaultRowHeight="15" x14ac:dyDescent="0.25"/>
  <sheetData>
    <row r="3" spans="1:9" ht="16.5" x14ac:dyDescent="0.35">
      <c r="F3" s="55" t="s">
        <v>158</v>
      </c>
      <c r="G3" s="55"/>
      <c r="H3" s="55"/>
      <c r="I3" s="55"/>
    </row>
    <row r="7" spans="1:9" ht="15" customHeight="1" x14ac:dyDescent="0.25">
      <c r="A7" s="57" t="s">
        <v>103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138</v>
      </c>
      <c r="B11" s="59"/>
      <c r="C11" s="60" t="s">
        <v>139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f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3:AB21"/>
  <sheetViews>
    <sheetView workbookViewId="0">
      <selection activeCell="I20" sqref="I20"/>
    </sheetView>
  </sheetViews>
  <sheetFormatPr defaultRowHeight="15" x14ac:dyDescent="0.25"/>
  <cols>
    <col min="6" max="6" width="12.28515625" customWidth="1"/>
    <col min="7" max="7" width="12" customWidth="1"/>
    <col min="8" max="8" width="11.5703125" customWidth="1"/>
    <col min="9" max="9" width="11.42578125" customWidth="1"/>
    <col min="10" max="10" width="11.5703125" customWidth="1"/>
    <col min="11" max="11" width="12.7109375" customWidth="1"/>
    <col min="12" max="12" width="12.5703125" customWidth="1"/>
    <col min="13" max="13" width="12.85546875" customWidth="1"/>
    <col min="14" max="14" width="12" customWidth="1"/>
    <col min="15" max="15" width="12.5703125" customWidth="1"/>
    <col min="16" max="16" width="12.42578125" customWidth="1"/>
    <col min="17" max="17" width="11.85546875" customWidth="1"/>
    <col min="18" max="18" width="12.28515625" customWidth="1"/>
    <col min="19" max="19" width="11.5703125" customWidth="1"/>
    <col min="20" max="20" width="11.7109375" customWidth="1"/>
    <col min="21" max="21" width="12.5703125" customWidth="1"/>
    <col min="22" max="22" width="11.5703125" customWidth="1"/>
    <col min="23" max="24" width="12.140625" customWidth="1"/>
    <col min="25" max="25" width="12.28515625" customWidth="1"/>
  </cols>
  <sheetData>
    <row r="3" spans="1:28" ht="16.5" x14ac:dyDescent="0.35">
      <c r="F3" s="55" t="s">
        <v>158</v>
      </c>
      <c r="G3" s="55"/>
      <c r="H3" s="55"/>
      <c r="I3" s="55"/>
    </row>
    <row r="7" spans="1:28" x14ac:dyDescent="0.25">
      <c r="A7" s="73" t="s">
        <v>104</v>
      </c>
      <c r="B7" s="73"/>
      <c r="C7" s="73"/>
      <c r="D7" s="73"/>
      <c r="I7" s="59" t="s">
        <v>138</v>
      </c>
      <c r="J7" s="59"/>
      <c r="N7" s="60" t="s">
        <v>139</v>
      </c>
      <c r="O7" s="60"/>
    </row>
    <row r="8" spans="1:28" x14ac:dyDescent="0.25">
      <c r="A8" s="73"/>
      <c r="B8" s="73"/>
      <c r="C8" s="73"/>
      <c r="D8" s="73"/>
      <c r="I8" s="59"/>
      <c r="J8" s="59"/>
      <c r="N8" s="60"/>
      <c r="O8" s="60"/>
    </row>
    <row r="10" spans="1:28" x14ac:dyDescent="0.25">
      <c r="A10" s="64" t="s">
        <v>105</v>
      </c>
      <c r="B10" s="64"/>
      <c r="C10" s="64"/>
      <c r="D10" s="64"/>
      <c r="E10" s="17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  <c r="Z10" s="18"/>
      <c r="AA10" s="18"/>
      <c r="AB10" s="18"/>
    </row>
    <row r="12" spans="1:28" x14ac:dyDescent="0.25">
      <c r="A12" s="65" t="s">
        <v>106</v>
      </c>
      <c r="B12" s="65"/>
      <c r="C12" s="65"/>
      <c r="D12" s="65"/>
      <c r="E12" s="3"/>
      <c r="F12" s="3">
        <f>Investment</f>
        <v>91500</v>
      </c>
    </row>
    <row r="13" spans="1:28" x14ac:dyDescent="0.25">
      <c r="A13" s="65" t="s">
        <v>107</v>
      </c>
      <c r="B13" s="65"/>
      <c r="C13" s="65"/>
      <c r="D13" s="65"/>
      <c r="F13" s="3">
        <f>IF(F10&lt;&gt;"",-(FinaIndikatori!F27+FinaIndikatori!F32),"")</f>
        <v>27742.407263076337</v>
      </c>
      <c r="G13" s="3">
        <f>IF(G10&lt;&gt;"",-(FinaIndikatori!G27+FinaIndikatori!G32),"")</f>
        <v>27502.987060793999</v>
      </c>
      <c r="H13" s="3">
        <f>IF(H10&lt;&gt;"",-(FinaIndikatori!H27+FinaIndikatori!H32),"")</f>
        <v>27234.836434237783</v>
      </c>
      <c r="I13" s="3">
        <f>IF(I10&lt;&gt;"",-(FinaIndikatori!I27+FinaIndikatori!I32),"")</f>
        <v>26934.507732494822</v>
      </c>
      <c r="J13" s="3">
        <f>IF(J10&lt;&gt;"",-(FinaIndikatori!J27+FinaIndikatori!J32),"")</f>
        <v>26598.139586542704</v>
      </c>
      <c r="K13" s="3">
        <f>IF(K10&lt;&gt;"",-(FinaIndikatori!K27+FinaIndikatori!K32),"")</f>
        <v>2780.2849140577041</v>
      </c>
      <c r="L13" s="3">
        <f>IF(L10&lt;&gt;"",-(FinaIndikatori!L27+FinaIndikatori!L32),"")</f>
        <v>2780.2849140577041</v>
      </c>
      <c r="M13" s="3">
        <f>IF(M10&lt;&gt;"",-(FinaIndikatori!M27+FinaIndikatori!M32),"")</f>
        <v>2780.2849140577041</v>
      </c>
      <c r="N13" s="3">
        <f>IF(N10&lt;&gt;"",-(FinaIndikatori!N27+FinaIndikatori!N32),"")</f>
        <v>2780.2849140577041</v>
      </c>
      <c r="O13" s="3">
        <f>IF(O10&lt;&gt;"",-(FinaIndikatori!O27+FinaIndikatori!O32),"")</f>
        <v>2780.2849140577041</v>
      </c>
      <c r="P13" s="3">
        <f>IF(P10&lt;&gt;"",-(FinaIndikatori!P27+FinaIndikatori!P32),"")</f>
        <v>2780.2849140577041</v>
      </c>
      <c r="Q13" s="3">
        <f>IF(Q10&lt;&gt;"",-(FinaIndikatori!Q27+FinaIndikatori!Q32),"")</f>
        <v>2780.2849140577041</v>
      </c>
      <c r="R13" s="3">
        <f>IF(R10&lt;&gt;"",-(FinaIndikatori!R27+FinaIndikatori!R32),"")</f>
        <v>2780.2849140577041</v>
      </c>
      <c r="S13" s="3">
        <f>IF(S10&lt;&gt;"",-(FinaIndikatori!S27+FinaIndikatori!S32),"")</f>
        <v>2780.2849140577041</v>
      </c>
      <c r="T13" s="3">
        <f>IF(T10&lt;&gt;"",-(FinaIndikatori!T27+FinaIndikatori!T32),"")</f>
        <v>2780.2849140577041</v>
      </c>
      <c r="U13" s="3">
        <f>IF(U10&lt;&gt;"",-(FinaIndikatori!U27+FinaIndikatori!U32),"")</f>
        <v>2780.2849140577041</v>
      </c>
      <c r="V13" s="3">
        <f>IF(V10&lt;&gt;"",-(FinaIndikatori!V27+FinaIndikatori!V32),"")</f>
        <v>2780.2849140577041</v>
      </c>
      <c r="W13" s="3">
        <f>IF(W10&lt;&gt;"",-(FinaIndikatori!W27+FinaIndikatori!W32),"")</f>
        <v>2780.2849140577041</v>
      </c>
      <c r="X13" s="3">
        <f>IF(X10&lt;&gt;"",-(FinaIndikatori!X27+FinaIndikatori!X32),"")</f>
        <v>2780.2849140577041</v>
      </c>
      <c r="Y13" s="3">
        <f>IF(Y10&lt;&gt;"",-(FinaIndikatori!Y27+FinaIndikatori!Y32),"")</f>
        <v>2780.2849140577041</v>
      </c>
    </row>
    <row r="14" spans="1:28" x14ac:dyDescent="0.25">
      <c r="A14" s="65" t="s">
        <v>108</v>
      </c>
      <c r="B14" s="65"/>
      <c r="C14" s="65"/>
      <c r="D14" s="65"/>
      <c r="E14" s="3"/>
      <c r="F14" s="3">
        <f t="shared" ref="F14:Y14" si="0">IF(F10&lt;&gt;"",F12+F13,"")</f>
        <v>119242.40726307634</v>
      </c>
      <c r="G14" s="3">
        <f t="shared" si="0"/>
        <v>27502.987060793999</v>
      </c>
      <c r="H14" s="3">
        <f t="shared" si="0"/>
        <v>27234.836434237783</v>
      </c>
      <c r="I14" s="3">
        <f t="shared" si="0"/>
        <v>26934.507732494822</v>
      </c>
      <c r="J14" s="3">
        <f t="shared" si="0"/>
        <v>26598.139586542704</v>
      </c>
      <c r="K14" s="3">
        <f t="shared" si="0"/>
        <v>2780.2849140577041</v>
      </c>
      <c r="L14" s="3">
        <f t="shared" si="0"/>
        <v>2780.2849140577041</v>
      </c>
      <c r="M14" s="3">
        <f t="shared" si="0"/>
        <v>2780.2849140577041</v>
      </c>
      <c r="N14" s="3">
        <f t="shared" si="0"/>
        <v>2780.2849140577041</v>
      </c>
      <c r="O14" s="3">
        <f t="shared" si="0"/>
        <v>2780.2849140577041</v>
      </c>
      <c r="P14" s="3">
        <f t="shared" si="0"/>
        <v>2780.2849140577041</v>
      </c>
      <c r="Q14" s="3">
        <f t="shared" si="0"/>
        <v>2780.2849140577041</v>
      </c>
      <c r="R14" s="3">
        <f t="shared" si="0"/>
        <v>2780.2849140577041</v>
      </c>
      <c r="S14" s="3">
        <f t="shared" si="0"/>
        <v>2780.2849140577041</v>
      </c>
      <c r="T14" s="3">
        <f t="shared" si="0"/>
        <v>2780.2849140577041</v>
      </c>
      <c r="U14" s="3">
        <f t="shared" si="0"/>
        <v>2780.2849140577041</v>
      </c>
      <c r="V14" s="3">
        <f t="shared" si="0"/>
        <v>2780.2849140577041</v>
      </c>
      <c r="W14" s="3">
        <f t="shared" si="0"/>
        <v>2780.2849140577041</v>
      </c>
      <c r="X14" s="3">
        <f t="shared" si="0"/>
        <v>2780.2849140577041</v>
      </c>
      <c r="Y14" s="3">
        <f t="shared" si="0"/>
        <v>2780.2849140577041</v>
      </c>
    </row>
    <row r="15" spans="1:28" x14ac:dyDescent="0.25">
      <c r="A15" s="66"/>
      <c r="B15" s="66"/>
      <c r="C15" s="66"/>
      <c r="D15" s="66"/>
    </row>
    <row r="16" spans="1:28" x14ac:dyDescent="0.25">
      <c r="A16" s="65" t="s">
        <v>137</v>
      </c>
      <c r="B16" s="65"/>
      <c r="C16" s="65"/>
      <c r="D16" s="65"/>
      <c r="F16" s="3">
        <f t="shared" ref="F16:Y16" si="1">IF(F10&lt;&gt;"",HEAT,"")</f>
        <v>1400</v>
      </c>
      <c r="G16" s="3">
        <f t="shared" si="1"/>
        <v>1400</v>
      </c>
      <c r="H16" s="3">
        <f t="shared" si="1"/>
        <v>1400</v>
      </c>
      <c r="I16" s="3">
        <f t="shared" si="1"/>
        <v>1400</v>
      </c>
      <c r="J16" s="3">
        <f t="shared" si="1"/>
        <v>1400</v>
      </c>
      <c r="K16" s="3">
        <f t="shared" si="1"/>
        <v>1400</v>
      </c>
      <c r="L16" s="3">
        <f t="shared" si="1"/>
        <v>1400</v>
      </c>
      <c r="M16" s="3">
        <f t="shared" si="1"/>
        <v>1400</v>
      </c>
      <c r="N16" s="3">
        <f t="shared" si="1"/>
        <v>1400</v>
      </c>
      <c r="O16" s="3">
        <f t="shared" si="1"/>
        <v>1400</v>
      </c>
      <c r="P16" s="3">
        <f t="shared" si="1"/>
        <v>1400</v>
      </c>
      <c r="Q16" s="3">
        <f t="shared" si="1"/>
        <v>1400</v>
      </c>
      <c r="R16" s="3">
        <f t="shared" si="1"/>
        <v>1400</v>
      </c>
      <c r="S16" s="3">
        <f t="shared" si="1"/>
        <v>1400</v>
      </c>
      <c r="T16" s="3">
        <f t="shared" si="1"/>
        <v>1400</v>
      </c>
      <c r="U16" s="3">
        <f t="shared" si="1"/>
        <v>1400</v>
      </c>
      <c r="V16" s="3">
        <f t="shared" si="1"/>
        <v>1400</v>
      </c>
      <c r="W16" s="3">
        <f t="shared" si="1"/>
        <v>1400</v>
      </c>
      <c r="X16" s="3">
        <f t="shared" si="1"/>
        <v>1400</v>
      </c>
      <c r="Y16" s="3">
        <f t="shared" si="1"/>
        <v>1400</v>
      </c>
      <c r="Z16" s="3"/>
    </row>
    <row r="17" spans="1:25" ht="18" x14ac:dyDescent="0.35">
      <c r="A17" s="65" t="s">
        <v>98</v>
      </c>
      <c r="B17" s="65"/>
      <c r="C17" s="65"/>
      <c r="D17" s="65"/>
      <c r="F17" s="3">
        <f>IF(F10&lt;&gt;"",'FinInd+CO2'!F14,"")</f>
        <v>81.871345029239805</v>
      </c>
      <c r="G17" s="3">
        <f>IF(G10&lt;&gt;"",'FinInd+CO2'!G14,"")</f>
        <v>81.871345029239805</v>
      </c>
      <c r="H17" s="3">
        <f>IF(H10&lt;&gt;"",'FinInd+CO2'!H14,"")</f>
        <v>81.871345029239805</v>
      </c>
      <c r="I17" s="3">
        <f>IF(I10&lt;&gt;"",'FinInd+CO2'!I14,"")</f>
        <v>81.871345029239805</v>
      </c>
      <c r="J17" s="3">
        <f>IF(J10&lt;&gt;"",'FinInd+CO2'!J14,"")</f>
        <v>81.871345029239805</v>
      </c>
      <c r="K17" s="3">
        <f>IF(K10&lt;&gt;"",'FinInd+CO2'!K14,"")</f>
        <v>81.871345029239805</v>
      </c>
      <c r="L17" s="3">
        <f>IF(L10&lt;&gt;"",'FinInd+CO2'!L14,"")</f>
        <v>81.871345029239805</v>
      </c>
      <c r="M17" s="3">
        <f>IF(M10&lt;&gt;"",'FinInd+CO2'!M14,"")</f>
        <v>81.871345029239805</v>
      </c>
      <c r="N17" s="3">
        <f>IF(N10&lt;&gt;"",'FinInd+CO2'!N14,"")</f>
        <v>81.871345029239805</v>
      </c>
      <c r="O17" s="3">
        <f>IF(O10&lt;&gt;"",'FinInd+CO2'!O14,"")</f>
        <v>81.871345029239805</v>
      </c>
      <c r="P17" s="3">
        <f>IF(P10&lt;&gt;"",'FinInd+CO2'!P14,"")</f>
        <v>81.871345029239805</v>
      </c>
      <c r="Q17" s="3">
        <f>IF(Q10&lt;&gt;"",'FinInd+CO2'!Q14,"")</f>
        <v>81.871345029239805</v>
      </c>
      <c r="R17" s="3">
        <f>IF(R10&lt;&gt;"",'FinInd+CO2'!R14,"")</f>
        <v>81.871345029239805</v>
      </c>
      <c r="S17" s="3">
        <f>IF(S10&lt;&gt;"",'FinInd+CO2'!S14,"")</f>
        <v>81.871345029239805</v>
      </c>
      <c r="T17" s="3">
        <f>IF(T10&lt;&gt;"",'FinInd+CO2'!T14,"")</f>
        <v>81.871345029239805</v>
      </c>
      <c r="U17" s="3">
        <f>IF(U10&lt;&gt;"",'FinInd+CO2'!U14,"")</f>
        <v>81.871345029239805</v>
      </c>
      <c r="V17" s="3">
        <f>IF(V10&lt;&gt;"",'FinInd+CO2'!V14,"")</f>
        <v>81.871345029239805</v>
      </c>
      <c r="W17" s="3">
        <f>IF(W10&lt;&gt;"",'FinInd+CO2'!W14,"")</f>
        <v>81.871345029239805</v>
      </c>
      <c r="X17" s="3">
        <f>IF(X10&lt;&gt;"",'FinInd+CO2'!X14,"")</f>
        <v>81.871345029239805</v>
      </c>
      <c r="Y17" s="3">
        <f>IF(Y10&lt;&gt;"",'FinInd+CO2'!Y14,"")</f>
        <v>81.871345029239805</v>
      </c>
    </row>
    <row r="19" spans="1:25" x14ac:dyDescent="0.25">
      <c r="A19" s="64" t="s">
        <v>26</v>
      </c>
      <c r="B19" s="64"/>
      <c r="C19" s="64"/>
      <c r="D19" s="64"/>
      <c r="E19" s="3">
        <f>NPV(UnosPodataka!M22,LCoEE!F14:Y14)/NPV(UnosPodataka!M22,LCoEE!F16:Y16)</f>
        <v>13.776760398514536</v>
      </c>
    </row>
    <row r="20" spans="1:25" ht="18" x14ac:dyDescent="0.35">
      <c r="A20" s="64" t="s">
        <v>27</v>
      </c>
      <c r="B20" s="64"/>
      <c r="C20" s="64"/>
      <c r="D20" s="64"/>
      <c r="E20" s="23">
        <f>IF(F17&lt;0,"-",NPV(UnosPodataka!M22,LCoEE!F14:Y14)/NPV(UnosPodataka!M22,LCoEE!F17:Y17))</f>
        <v>235.58260281459849</v>
      </c>
    </row>
    <row r="21" spans="1:25" x14ac:dyDescent="0.25">
      <c r="E21" s="6"/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fEk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3:U32"/>
  <sheetViews>
    <sheetView topLeftCell="A3" workbookViewId="0">
      <selection activeCell="G31" sqref="G31"/>
    </sheetView>
  </sheetViews>
  <sheetFormatPr defaultRowHeight="15" x14ac:dyDescent="0.25"/>
  <cols>
    <col min="1" max="1" width="12" customWidth="1"/>
    <col min="2" max="2" width="11.7109375" customWidth="1"/>
    <col min="4" max="4" width="11.42578125" customWidth="1"/>
    <col min="21" max="21" width="0" hidden="1" customWidth="1"/>
  </cols>
  <sheetData>
    <row r="3" spans="1:21" ht="16.5" x14ac:dyDescent="0.35">
      <c r="F3" s="55" t="s">
        <v>158</v>
      </c>
      <c r="G3" s="55"/>
      <c r="H3" s="55"/>
      <c r="I3" s="55"/>
    </row>
    <row r="7" spans="1:21" ht="21" x14ac:dyDescent="0.35">
      <c r="A7" s="62" t="s">
        <v>109</v>
      </c>
      <c r="B7" s="62"/>
      <c r="C7" s="62"/>
      <c r="D7" s="62"/>
    </row>
    <row r="8" spans="1:21" ht="15.75" thickBot="1" x14ac:dyDescent="0.3">
      <c r="A8" s="3"/>
      <c r="B8" s="3"/>
      <c r="C8" s="3"/>
      <c r="D8" s="3"/>
      <c r="E8" s="3"/>
    </row>
    <row r="9" spans="1:21" ht="15.75" thickBot="1" x14ac:dyDescent="0.3">
      <c r="B9" s="39" t="s">
        <v>186</v>
      </c>
      <c r="C9" s="40"/>
      <c r="D9" s="39" t="s">
        <v>187</v>
      </c>
      <c r="E9" s="40"/>
    </row>
    <row r="10" spans="1:21" ht="15.75" thickBot="1" x14ac:dyDescent="0.3">
      <c r="B10" s="41" t="s">
        <v>188</v>
      </c>
      <c r="C10" s="41" t="s">
        <v>189</v>
      </c>
      <c r="D10" s="41" t="s">
        <v>188</v>
      </c>
      <c r="E10" s="41" t="s">
        <v>189</v>
      </c>
    </row>
    <row r="12" spans="1:21" x14ac:dyDescent="0.25">
      <c r="A12" s="42" t="s">
        <v>190</v>
      </c>
      <c r="B12" s="43">
        <v>-15098.50229824802</v>
      </c>
      <c r="C12" s="44">
        <v>9.6106741451494004E-2</v>
      </c>
      <c r="D12" s="43">
        <v>23297.200050770825</v>
      </c>
      <c r="E12" s="7">
        <v>0.14446677953050258</v>
      </c>
    </row>
    <row r="13" spans="1:21" x14ac:dyDescent="0.25">
      <c r="B13" s="43"/>
      <c r="D13" s="43"/>
      <c r="U13" s="42" t="s">
        <v>195</v>
      </c>
    </row>
    <row r="14" spans="1:21" x14ac:dyDescent="0.25">
      <c r="A14" s="42" t="s">
        <v>194</v>
      </c>
      <c r="B14" s="43"/>
      <c r="D14" s="43"/>
      <c r="U14" s="42" t="s">
        <v>196</v>
      </c>
    </row>
    <row r="15" spans="1:21" x14ac:dyDescent="0.25">
      <c r="A15" s="20">
        <v>0.1</v>
      </c>
      <c r="B15" s="43">
        <v>-1656.0857655394386</v>
      </c>
      <c r="C15" s="44">
        <v>0.11319161900215624</v>
      </c>
      <c r="D15" s="43">
        <v>36739.616583479437</v>
      </c>
      <c r="E15" s="7">
        <v>0.16119870266243863</v>
      </c>
    </row>
    <row r="16" spans="1:21" x14ac:dyDescent="0.25">
      <c r="A16" s="20">
        <v>-0.1</v>
      </c>
      <c r="B16" s="43">
        <v>-28540.918830956616</v>
      </c>
      <c r="C16" s="44">
        <v>7.8692607475435716E-2</v>
      </c>
      <c r="D16" s="43">
        <v>9854.783518062266</v>
      </c>
      <c r="E16" s="7">
        <v>0.12767339403569844</v>
      </c>
    </row>
    <row r="17" spans="1:5" x14ac:dyDescent="0.25">
      <c r="A17" s="6" t="s">
        <v>191</v>
      </c>
      <c r="B17" s="44">
        <v>0.11230000000000007</v>
      </c>
      <c r="C17" s="44"/>
      <c r="D17" s="44">
        <v>-0.17330000000000001</v>
      </c>
      <c r="E17" s="7"/>
    </row>
    <row r="18" spans="1:5" x14ac:dyDescent="0.25">
      <c r="B18" s="43"/>
      <c r="D18" s="43"/>
    </row>
    <row r="19" spans="1:5" x14ac:dyDescent="0.25">
      <c r="A19" s="42" t="s">
        <v>192</v>
      </c>
      <c r="B19" s="43"/>
      <c r="D19" s="43"/>
    </row>
    <row r="20" spans="1:5" x14ac:dyDescent="0.25">
      <c r="A20" s="20">
        <v>0.1</v>
      </c>
      <c r="B20" s="43"/>
      <c r="C20" s="44"/>
      <c r="D20" s="43">
        <v>27150.652282555689</v>
      </c>
      <c r="E20" s="7">
        <v>0.14926660407935799</v>
      </c>
    </row>
    <row r="21" spans="1:5" x14ac:dyDescent="0.25">
      <c r="A21" s="20">
        <v>-0.1</v>
      </c>
      <c r="B21" s="43"/>
      <c r="C21" s="44"/>
      <c r="D21" s="43">
        <v>19443.747818986001</v>
      </c>
      <c r="E21" s="7">
        <v>0.13966200243038052</v>
      </c>
    </row>
    <row r="22" spans="1:5" x14ac:dyDescent="0.25">
      <c r="A22" s="6" t="s">
        <v>191</v>
      </c>
      <c r="B22" s="44"/>
      <c r="C22" s="44"/>
      <c r="D22" s="45">
        <v>-0.60499999999999998</v>
      </c>
      <c r="E22" s="7"/>
    </row>
    <row r="23" spans="1:5" x14ac:dyDescent="0.25">
      <c r="B23" s="43"/>
      <c r="D23" s="43"/>
    </row>
    <row r="24" spans="1:5" x14ac:dyDescent="0.25">
      <c r="A24" s="42" t="s">
        <v>193</v>
      </c>
      <c r="B24" s="46"/>
      <c r="C24" s="44"/>
      <c r="D24" s="46"/>
      <c r="E24" s="7"/>
    </row>
    <row r="25" spans="1:5" x14ac:dyDescent="0.25">
      <c r="A25" s="20">
        <v>0.1</v>
      </c>
      <c r="B25" s="43">
        <v>-30860.023979630529</v>
      </c>
      <c r="C25" s="44">
        <v>7.9759640086816352E-2</v>
      </c>
      <c r="D25" s="43">
        <v>7402.7494152196268</v>
      </c>
      <c r="E25" s="7">
        <v>0.12418483769043509</v>
      </c>
    </row>
    <row r="26" spans="1:5" x14ac:dyDescent="0.25">
      <c r="A26" s="20">
        <v>-0.1</v>
      </c>
      <c r="B26" s="43">
        <v>760.2993687974822</v>
      </c>
      <c r="C26" s="44">
        <v>0.11581896581629381</v>
      </c>
      <c r="D26" s="43">
        <v>39316.428610058392</v>
      </c>
      <c r="E26" s="7">
        <v>0.16927214523315892</v>
      </c>
    </row>
    <row r="27" spans="1:5" x14ac:dyDescent="0.25">
      <c r="A27" s="6" t="s">
        <v>191</v>
      </c>
      <c r="B27" s="44">
        <v>-9.5199999999999951E-2</v>
      </c>
      <c r="C27" s="44"/>
      <c r="D27" s="44">
        <v>0.14680000000000004</v>
      </c>
      <c r="E27" s="7"/>
    </row>
    <row r="29" spans="1:5" x14ac:dyDescent="0.25">
      <c r="A29" s="59" t="s">
        <v>138</v>
      </c>
      <c r="B29" s="59"/>
      <c r="D29" s="60" t="s">
        <v>139</v>
      </c>
      <c r="E29" s="60"/>
    </row>
    <row r="30" spans="1:5" x14ac:dyDescent="0.25">
      <c r="A30" s="59"/>
      <c r="B30" s="59"/>
      <c r="D30" s="60"/>
      <c r="E30" s="60"/>
    </row>
    <row r="32" spans="1:5" hidden="1" x14ac:dyDescent="0.25">
      <c r="B32" s="43">
        <f>+FNPV</f>
        <v>-15098.50229824802</v>
      </c>
      <c r="C32" s="44">
        <f>+FIRR</f>
        <v>9.6106741451494004E-2</v>
      </c>
      <c r="D32" s="43">
        <f>+'FinInd+CO2'!$E$44</f>
        <v>23297.200050770825</v>
      </c>
      <c r="E32" s="7">
        <f>+'FinInd+CO2'!$E$45</f>
        <v>0.14446677953050258</v>
      </c>
    </row>
  </sheetData>
  <sheetProtection selectLockedCells="1"/>
  <mergeCells count="4">
    <mergeCell ref="F3:I3"/>
    <mergeCell ref="A29:B30"/>
    <mergeCell ref="D29:E30"/>
    <mergeCell ref="A7:D7"/>
  </mergeCells>
  <hyperlinks>
    <hyperlink ref="A29:B30" location="LCoEE!I1" display="NAZAD"/>
    <hyperlink ref="D29:E30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F8" sqref="F8"/>
    </sheetView>
  </sheetViews>
  <sheetFormatPr defaultRowHeight="15" x14ac:dyDescent="0.25"/>
  <cols>
    <col min="5" max="5" width="10.85546875" customWidth="1"/>
  </cols>
  <sheetData>
    <row r="3" spans="1:25" ht="16.5" x14ac:dyDescent="0.35">
      <c r="F3" s="55" t="s">
        <v>158</v>
      </c>
      <c r="G3" s="55"/>
      <c r="H3" s="55"/>
      <c r="I3" s="55"/>
    </row>
    <row r="7" spans="1:25" x14ac:dyDescent="0.25">
      <c r="A7" s="57" t="s">
        <v>143</v>
      </c>
      <c r="B7" s="57"/>
      <c r="C7" s="57"/>
      <c r="D7" s="57"/>
      <c r="I7" s="59" t="s">
        <v>138</v>
      </c>
      <c r="J7" s="59"/>
      <c r="N7" s="60" t="s">
        <v>139</v>
      </c>
      <c r="O7" s="60"/>
    </row>
    <row r="8" spans="1:25" x14ac:dyDescent="0.25">
      <c r="A8" s="57"/>
      <c r="B8" s="57"/>
      <c r="C8" s="57"/>
      <c r="D8" s="57"/>
      <c r="I8" s="59"/>
      <c r="J8" s="59"/>
      <c r="N8" s="60"/>
      <c r="O8" s="60"/>
    </row>
    <row r="10" spans="1:25" x14ac:dyDescent="0.25">
      <c r="A10" s="64" t="s">
        <v>105</v>
      </c>
      <c r="B10" s="64"/>
      <c r="C10" s="64"/>
      <c r="D10" s="64"/>
      <c r="E10" s="16"/>
      <c r="F10" s="16">
        <f>IF(E10&lt;UnosPodataka!$M$28,E10+1,"")</f>
        <v>1</v>
      </c>
      <c r="G10" s="16">
        <f>IF(F10&lt;UnosPodataka!$M$28,F10+1,"")</f>
        <v>2</v>
      </c>
      <c r="H10" s="16">
        <f>IF(G10&lt;UnosPodataka!$M$28,G10+1,"")</f>
        <v>3</v>
      </c>
      <c r="I10" s="16">
        <f>IF(H10&lt;UnosPodataka!$M$28,H10+1,"")</f>
        <v>4</v>
      </c>
      <c r="J10" s="16">
        <f>IF(I10&lt;UnosPodataka!$M$28,I10+1,"")</f>
        <v>5</v>
      </c>
      <c r="K10" s="16">
        <f>IF(J10&lt;UnosPodataka!$M$28,J10+1,"")</f>
        <v>6</v>
      </c>
      <c r="L10" s="16">
        <f>IF(K10&lt;UnosPodataka!$M$28,K10+1,"")</f>
        <v>7</v>
      </c>
      <c r="M10" s="16">
        <f>IF(L10&lt;UnosPodataka!$M$28,L10+1,"")</f>
        <v>8</v>
      </c>
      <c r="N10" s="16">
        <f>IF(M10&lt;UnosPodataka!$M$28,M10+1,"")</f>
        <v>9</v>
      </c>
      <c r="O10" s="16">
        <f>IF(N10&lt;UnosPodataka!$M$28,N10+1,"")</f>
        <v>10</v>
      </c>
      <c r="P10" s="16">
        <f>IF(O10&lt;UnosPodataka!$M$28,O10+1,"")</f>
        <v>11</v>
      </c>
      <c r="Q10" s="16">
        <f>IF(P10&lt;UnosPodataka!$M$28,P10+1,"")</f>
        <v>12</v>
      </c>
      <c r="R10" s="16">
        <f>IF(Q10&lt;UnosPodataka!$M$28,Q10+1,"")</f>
        <v>13</v>
      </c>
      <c r="S10" s="16">
        <f>IF(R10&lt;UnosPodataka!$M$28,R10+1,"")</f>
        <v>14</v>
      </c>
      <c r="T10" s="16">
        <f>IF(S10&lt;UnosPodataka!$M$28,S10+1,"")</f>
        <v>15</v>
      </c>
      <c r="U10" s="16">
        <f>IF(T10&lt;UnosPodataka!$M$28,T10+1,"")</f>
        <v>16</v>
      </c>
      <c r="V10" s="16">
        <f>IF(U10&lt;UnosPodataka!$M$28,U10+1,"")</f>
        <v>17</v>
      </c>
      <c r="W10" s="16">
        <f>IF(V10&lt;UnosPodataka!$M$28,V10+1,"")</f>
        <v>18</v>
      </c>
      <c r="X10" s="16">
        <f>IF(W10&lt;UnosPodataka!$M$28,W10+1,"")</f>
        <v>19</v>
      </c>
      <c r="Y10" s="16">
        <f>IF(X10&lt;UnosPodataka!$M$28,X10+1,"")</f>
        <v>20</v>
      </c>
    </row>
    <row r="12" spans="1:25" x14ac:dyDescent="0.25">
      <c r="A12" s="65" t="s">
        <v>144</v>
      </c>
      <c r="B12" s="65"/>
      <c r="C12" s="65"/>
      <c r="D12" s="65"/>
      <c r="E12" s="3">
        <v>0</v>
      </c>
      <c r="F12" s="3">
        <f>IF(F10&lt;&gt;"",-FinaIndikatori!F26,"")</f>
        <v>0</v>
      </c>
      <c r="G12" s="3">
        <f>IF(G10&lt;&gt;"",-FinaIndikatori!G26,"")</f>
        <v>0</v>
      </c>
      <c r="H12" s="3">
        <f>IF(H10&lt;&gt;"",-FinaIndikatori!H26,"")</f>
        <v>0</v>
      </c>
      <c r="I12" s="3">
        <f>IF(I10&lt;&gt;"",-FinaIndikatori!I26,"")</f>
        <v>0</v>
      </c>
      <c r="J12" s="3">
        <f>IF(J10&lt;&gt;"",-FinaIndikatori!J26,"")</f>
        <v>0</v>
      </c>
      <c r="K12" s="3">
        <f>IF(K10&lt;&gt;"",-FinaIndikatori!K26,"")</f>
        <v>0</v>
      </c>
      <c r="L12" s="3">
        <f>IF(L10&lt;&gt;"",-FinaIndikatori!L26,"")</f>
        <v>0</v>
      </c>
      <c r="M12" s="3">
        <f>IF(M10&lt;&gt;"",-FinaIndikatori!M26,"")</f>
        <v>0</v>
      </c>
      <c r="N12" s="3">
        <f>IF(N10&lt;&gt;"",-FinaIndikatori!N26,"")</f>
        <v>0</v>
      </c>
      <c r="O12" s="3">
        <f>IF(O10&lt;&gt;"",-FinaIndikatori!O26,"")</f>
        <v>0</v>
      </c>
      <c r="P12" s="3">
        <f>IF(P10&lt;&gt;"",-FinaIndikatori!P26,"")</f>
        <v>0</v>
      </c>
      <c r="Q12" s="3">
        <f>IF(Q10&lt;&gt;"",-FinaIndikatori!Q26,"")</f>
        <v>0</v>
      </c>
      <c r="R12" s="3">
        <f>IF(R10&lt;&gt;"",-FinaIndikatori!R26,"")</f>
        <v>0</v>
      </c>
      <c r="S12" s="3">
        <f>IF(S10&lt;&gt;"",-FinaIndikatori!S26,"")</f>
        <v>0</v>
      </c>
      <c r="T12" s="3">
        <f>IF(T10&lt;&gt;"",-FinaIndikatori!T26,"")</f>
        <v>0</v>
      </c>
      <c r="U12" s="3">
        <f>IF(U10&lt;&gt;"",-FinaIndikatori!U26,"")</f>
        <v>0</v>
      </c>
      <c r="V12" s="3">
        <f>IF(V10&lt;&gt;"",-FinaIndikatori!V26,"")</f>
        <v>0</v>
      </c>
      <c r="W12" s="3">
        <f>IF(W10&lt;&gt;"",-FinaIndikatori!W26,"")</f>
        <v>0</v>
      </c>
      <c r="X12" s="3">
        <f>IF(X10&lt;&gt;"",-FinaIndikatori!X26,"")</f>
        <v>0</v>
      </c>
      <c r="Y12" s="3">
        <f>IF(Y10&lt;&gt;"",-FinaIndikatori!Y26,"")</f>
        <v>0</v>
      </c>
    </row>
    <row r="13" spans="1:25" x14ac:dyDescent="0.25">
      <c r="A13" s="65" t="s">
        <v>145</v>
      </c>
      <c r="B13" s="65"/>
      <c r="C13" s="65"/>
      <c r="D13" s="65"/>
      <c r="E13" s="3">
        <v>0</v>
      </c>
      <c r="F13" s="3">
        <f>IF(F10&lt;&gt;0,F12*(1+UnosPodataka!$M$22)^(-F10),"")</f>
        <v>0</v>
      </c>
      <c r="G13" s="3">
        <f>IF(G10&lt;&gt;0,G12*(1+UnosPodataka!$M$22)^(-G10),"")</f>
        <v>0</v>
      </c>
      <c r="H13" s="3">
        <f>IF(H10&lt;&gt;0,H12*(1+UnosPodataka!$M$22)^(-H10),"")</f>
        <v>0</v>
      </c>
      <c r="I13" s="3">
        <f>IF(I10&lt;&gt;0,I12*(1+UnosPodataka!$M$22)^(-I10),"")</f>
        <v>0</v>
      </c>
      <c r="J13" s="3">
        <f>IF(J10&lt;&gt;0,J12*(1+UnosPodataka!$M$22)^(-J10),"")</f>
        <v>0</v>
      </c>
      <c r="K13" s="3">
        <f>IF(K10&lt;&gt;0,K12*(1+UnosPodataka!$M$22)^(-K10),"")</f>
        <v>0</v>
      </c>
      <c r="L13" s="3">
        <f>IF(L10&lt;&gt;0,L12*(1+UnosPodataka!$M$22)^(-L10),"")</f>
        <v>0</v>
      </c>
      <c r="M13" s="3">
        <f>IF(M10&lt;&gt;0,M12*(1+UnosPodataka!$M$22)^(-M10),"")</f>
        <v>0</v>
      </c>
      <c r="N13" s="3">
        <f>IF(N10&lt;&gt;0,N12*(1+UnosPodataka!$M$22)^(-N10),"")</f>
        <v>0</v>
      </c>
      <c r="O13" s="3">
        <f>IF(O10&lt;&gt;0,O12*(1+UnosPodataka!$M$22)^(-O10),"")</f>
        <v>0</v>
      </c>
      <c r="P13" s="3">
        <f>IF(P10&lt;&gt;0,P12*(1+UnosPodataka!$M$22)^(-P10),"")</f>
        <v>0</v>
      </c>
      <c r="Q13" s="3">
        <f>IF(Q10&lt;&gt;0,Q12*(1+UnosPodataka!$M$22)^(-Q10),"")</f>
        <v>0</v>
      </c>
      <c r="R13" s="3">
        <f>IF(R10&lt;&gt;0,R12*(1+UnosPodataka!$M$22)^(-R10),"")</f>
        <v>0</v>
      </c>
      <c r="S13" s="3">
        <f>IF(S10&lt;&gt;0,S12*(1+UnosPodataka!$M$22)^(-S10),"")</f>
        <v>0</v>
      </c>
      <c r="T13" s="3">
        <f>IF(T10&lt;&gt;0,T12*(1+UnosPodataka!$M$22)^(-T10),"")</f>
        <v>0</v>
      </c>
      <c r="U13" s="3">
        <f>IF(U10&lt;&gt;0,U12*(1+UnosPodataka!$M$22)^(-U10),"")</f>
        <v>0</v>
      </c>
      <c r="V13" s="3">
        <f>IF(V10&lt;&gt;0,V12*(1+UnosPodataka!$M$22)^(-V10),"")</f>
        <v>0</v>
      </c>
      <c r="W13" s="3">
        <f>IF(W10&lt;&gt;0,W12*(1+UnosPodataka!$M$22)^(-W10),"")</f>
        <v>0</v>
      </c>
      <c r="X13" s="3">
        <f>IF(X10&lt;&gt;0,X12*(1+UnosPodataka!$M$22)^(-X10),"")</f>
        <v>0</v>
      </c>
      <c r="Y13" s="3">
        <f>IF(Y10&lt;&gt;0,Y12*(1+UnosPodataka!$M$22)^(-Y10),"")</f>
        <v>0</v>
      </c>
    </row>
    <row r="15" spans="1:25" x14ac:dyDescent="0.25">
      <c r="A15" s="74" t="s">
        <v>25</v>
      </c>
      <c r="B15" s="74"/>
      <c r="C15" s="74"/>
      <c r="D15" s="74"/>
      <c r="E15" s="19">
        <f>NPV(UnosPodataka!M22,AkoESCO!F12:Y12)</f>
        <v>0</v>
      </c>
    </row>
    <row r="16" spans="1:25" x14ac:dyDescent="0.25">
      <c r="A16" s="74" t="s">
        <v>146</v>
      </c>
      <c r="B16" s="74"/>
      <c r="C16" s="74"/>
      <c r="D16" s="74"/>
      <c r="E16" s="6" t="s">
        <v>147</v>
      </c>
    </row>
  </sheetData>
  <mergeCells count="9">
    <mergeCell ref="A13:D13"/>
    <mergeCell ref="A15:D15"/>
    <mergeCell ref="A16:D16"/>
    <mergeCell ref="I7:J8"/>
    <mergeCell ref="N7:O8"/>
    <mergeCell ref="A7:D8"/>
    <mergeCell ref="A10:D10"/>
    <mergeCell ref="A12:D12"/>
    <mergeCell ref="F3:I3"/>
  </mergeCells>
  <hyperlinks>
    <hyperlink ref="I7:J8" location="SALCoEE!A10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17" sqref="D17"/>
    </sheetView>
  </sheetViews>
  <sheetFormatPr defaultRowHeight="15" x14ac:dyDescent="0.25"/>
  <sheetData>
    <row r="3" spans="1:9" ht="16.5" x14ac:dyDescent="0.35">
      <c r="F3" s="55" t="s">
        <v>158</v>
      </c>
      <c r="G3" s="55"/>
      <c r="H3" s="55"/>
      <c r="I3" s="55"/>
    </row>
    <row r="7" spans="1:9" x14ac:dyDescent="0.25">
      <c r="A7" s="57" t="s">
        <v>142</v>
      </c>
      <c r="B7" s="57"/>
      <c r="C7" s="57"/>
      <c r="D7" s="57"/>
    </row>
    <row r="8" spans="1:9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138</v>
      </c>
      <c r="B11" s="59"/>
      <c r="D11" s="60" t="s">
        <v>139</v>
      </c>
      <c r="E11" s="60"/>
    </row>
    <row r="12" spans="1:9" x14ac:dyDescent="0.25">
      <c r="A12" s="59"/>
      <c r="B12" s="59"/>
      <c r="D12" s="60"/>
      <c r="E12" s="60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V23" sqref="V23"/>
    </sheetView>
  </sheetViews>
  <sheetFormatPr defaultRowHeight="15" x14ac:dyDescent="0.25"/>
  <sheetData>
    <row r="3" spans="1:9" ht="16.5" x14ac:dyDescent="0.35">
      <c r="F3" s="55" t="s">
        <v>158</v>
      </c>
      <c r="G3" s="55"/>
      <c r="H3" s="55"/>
      <c r="I3" s="55"/>
    </row>
    <row r="7" spans="1:9" x14ac:dyDescent="0.25">
      <c r="A7" s="57" t="s">
        <v>141</v>
      </c>
      <c r="B7" s="57"/>
      <c r="C7" s="57"/>
      <c r="D7" s="57"/>
    </row>
    <row r="8" spans="1:9" x14ac:dyDescent="0.25">
      <c r="A8" s="57"/>
      <c r="B8" s="57"/>
      <c r="C8" s="57"/>
      <c r="D8" s="57"/>
    </row>
    <row r="9" spans="1:9" x14ac:dyDescent="0.25">
      <c r="B9" s="64" t="s">
        <v>33</v>
      </c>
      <c r="C9" s="64"/>
      <c r="D9" s="64"/>
      <c r="E9" s="66" t="str">
        <f>PROJEKAT</f>
        <v>Priključenje novog objekta</v>
      </c>
      <c r="F9" s="66"/>
      <c r="G9" s="66"/>
      <c r="H9" s="66"/>
      <c r="I9" s="66"/>
    </row>
    <row r="10" spans="1:9" x14ac:dyDescent="0.25">
      <c r="B10" s="64" t="s">
        <v>148</v>
      </c>
      <c r="C10" s="64"/>
      <c r="D10" s="64"/>
      <c r="E10" s="77">
        <f>Investment</f>
        <v>91500</v>
      </c>
      <c r="F10" s="77"/>
      <c r="G10" s="77"/>
      <c r="H10" s="77"/>
      <c r="I10" s="77"/>
    </row>
    <row r="11" spans="1:9" x14ac:dyDescent="0.25">
      <c r="B11" s="64" t="s">
        <v>149</v>
      </c>
      <c r="C11" s="64"/>
      <c r="D11" s="64"/>
      <c r="E11" s="77">
        <f>Investment-Equity-Loan</f>
        <v>0</v>
      </c>
      <c r="F11" s="77"/>
      <c r="G11" s="77"/>
      <c r="H11" s="77"/>
      <c r="I11" s="77"/>
    </row>
    <row r="12" spans="1:9" x14ac:dyDescent="0.25">
      <c r="B12" s="64" t="s">
        <v>86</v>
      </c>
      <c r="C12" s="64"/>
      <c r="D12" s="64"/>
      <c r="E12" s="77">
        <f>Equity</f>
        <v>7000</v>
      </c>
      <c r="F12" s="77"/>
      <c r="G12" s="77"/>
      <c r="H12" s="77"/>
      <c r="I12" s="77"/>
    </row>
    <row r="13" spans="1:9" x14ac:dyDescent="0.25">
      <c r="B13" s="64" t="s">
        <v>85</v>
      </c>
      <c r="C13" s="64"/>
      <c r="D13" s="64"/>
      <c r="E13" s="77">
        <f>Loan</f>
        <v>84500</v>
      </c>
      <c r="F13" s="77"/>
      <c r="G13" s="77"/>
      <c r="H13" s="77"/>
      <c r="I13" s="77"/>
    </row>
    <row r="14" spans="1:9" x14ac:dyDescent="0.25">
      <c r="B14" s="64" t="s">
        <v>150</v>
      </c>
      <c r="C14" s="64"/>
      <c r="D14" s="64"/>
      <c r="E14" s="77">
        <f>LCoEE</f>
        <v>13.776760398514536</v>
      </c>
      <c r="F14" s="77"/>
      <c r="G14" s="77"/>
      <c r="H14" s="77"/>
      <c r="I14" s="77"/>
    </row>
    <row r="15" spans="1:9" x14ac:dyDescent="0.25">
      <c r="B15" s="64" t="s">
        <v>151</v>
      </c>
      <c r="C15" s="64"/>
      <c r="D15" s="64"/>
      <c r="E15" s="77">
        <f>FNPV</f>
        <v>-15098.50229824802</v>
      </c>
      <c r="F15" s="77"/>
      <c r="G15" s="77"/>
      <c r="H15" s="77"/>
      <c r="I15" s="77"/>
    </row>
    <row r="16" spans="1:9" x14ac:dyDescent="0.25">
      <c r="B16" s="64" t="s">
        <v>152</v>
      </c>
      <c r="C16" s="64"/>
      <c r="D16" s="64"/>
      <c r="E16" s="78">
        <f>FIRR</f>
        <v>9.6106741451494004E-2</v>
      </c>
      <c r="F16" s="78"/>
      <c r="G16" s="78"/>
      <c r="H16" s="78"/>
      <c r="I16" s="78"/>
    </row>
    <row r="17" spans="2:9" ht="18" x14ac:dyDescent="0.35">
      <c r="B17" s="76" t="s">
        <v>218</v>
      </c>
      <c r="C17" s="76"/>
      <c r="D17" s="76"/>
      <c r="E17" s="77">
        <f>+'FinInd+CO2'!E44</f>
        <v>23297.200050770825</v>
      </c>
      <c r="F17" s="77"/>
      <c r="G17" s="77"/>
      <c r="H17" s="77"/>
      <c r="I17" s="77"/>
    </row>
    <row r="18" spans="2:9" ht="18" x14ac:dyDescent="0.35">
      <c r="B18" s="76" t="s">
        <v>219</v>
      </c>
      <c r="C18" s="76"/>
      <c r="D18" s="76"/>
      <c r="E18" s="75">
        <f>+'FinInd+CO2'!E45</f>
        <v>0.14446677953050258</v>
      </c>
      <c r="F18" s="66"/>
      <c r="G18" s="66"/>
      <c r="H18" s="66"/>
      <c r="I18" s="66"/>
    </row>
    <row r="20" spans="2:9" x14ac:dyDescent="0.25">
      <c r="B20" s="59" t="s">
        <v>138</v>
      </c>
      <c r="C20" s="59"/>
    </row>
    <row r="21" spans="2:9" x14ac:dyDescent="0.25">
      <c r="B21" s="59"/>
      <c r="C21" s="59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I13" sqref="I13"/>
    </sheetView>
  </sheetViews>
  <sheetFormatPr defaultRowHeight="15" x14ac:dyDescent="0.25"/>
  <sheetData>
    <row r="7" spans="2:3" ht="21" x14ac:dyDescent="0.35">
      <c r="B7" s="54" t="s">
        <v>207</v>
      </c>
    </row>
    <row r="8" spans="2:3" ht="18" x14ac:dyDescent="0.35">
      <c r="C8" s="47" t="s">
        <v>208</v>
      </c>
    </row>
    <row r="9" spans="2:3" x14ac:dyDescent="0.25">
      <c r="B9" t="s">
        <v>20</v>
      </c>
      <c r="C9" s="8">
        <v>0.4</v>
      </c>
    </row>
    <row r="10" spans="2:3" x14ac:dyDescent="0.25">
      <c r="B10" t="s">
        <v>19</v>
      </c>
      <c r="C10" s="8">
        <v>0.33</v>
      </c>
    </row>
    <row r="11" spans="2:3" x14ac:dyDescent="0.25">
      <c r="B11" t="s">
        <v>209</v>
      </c>
      <c r="C11" s="8">
        <v>0.34</v>
      </c>
    </row>
    <row r="12" spans="2:3" x14ac:dyDescent="0.25">
      <c r="B12" t="s">
        <v>210</v>
      </c>
      <c r="C12" s="8">
        <v>0.27</v>
      </c>
    </row>
    <row r="13" spans="2:3" x14ac:dyDescent="0.25">
      <c r="B13" t="s">
        <v>16</v>
      </c>
      <c r="C13" s="8">
        <v>0.28000000000000003</v>
      </c>
    </row>
    <row r="14" spans="2:3" x14ac:dyDescent="0.25">
      <c r="B14" t="s">
        <v>13</v>
      </c>
      <c r="C14" s="8">
        <v>0.2</v>
      </c>
    </row>
    <row r="15" spans="2:3" x14ac:dyDescent="0.25">
      <c r="B15" t="s">
        <v>211</v>
      </c>
      <c r="C15" s="8">
        <v>0.22</v>
      </c>
    </row>
    <row r="16" spans="2:3" x14ac:dyDescent="0.25">
      <c r="B16" t="s">
        <v>212</v>
      </c>
      <c r="C16" s="8">
        <v>0.49399999999999999</v>
      </c>
    </row>
    <row r="17" spans="2:3" x14ac:dyDescent="0.25">
      <c r="B17" t="s">
        <v>213</v>
      </c>
      <c r="C17" s="8">
        <v>4.9000000000000002E-2</v>
      </c>
    </row>
    <row r="18" spans="2:3" x14ac:dyDescent="0.25">
      <c r="B18" t="s">
        <v>214</v>
      </c>
      <c r="C18" s="8">
        <v>0.04</v>
      </c>
    </row>
    <row r="19" spans="2:3" x14ac:dyDescent="0.25">
      <c r="B19" t="s">
        <v>215</v>
      </c>
      <c r="C19" s="8">
        <v>0.28999999999999998</v>
      </c>
    </row>
    <row r="20" spans="2:3" x14ac:dyDescent="0.25">
      <c r="B20" t="s">
        <v>17</v>
      </c>
      <c r="C20" s="8">
        <v>0.8</v>
      </c>
    </row>
    <row r="21" spans="2:3" x14ac:dyDescent="0.25">
      <c r="B21" t="s">
        <v>216</v>
      </c>
      <c r="C21" s="8">
        <v>0</v>
      </c>
    </row>
    <row r="22" spans="2:3" x14ac:dyDescent="0.25">
      <c r="B22" t="s">
        <v>204</v>
      </c>
    </row>
    <row r="23" spans="2:3" x14ac:dyDescent="0.25">
      <c r="B23" t="s">
        <v>217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I20" sqref="I20"/>
    </sheetView>
  </sheetViews>
  <sheetFormatPr defaultRowHeight="15" x14ac:dyDescent="0.25"/>
  <cols>
    <col min="2" max="2" width="21.28515625" customWidth="1"/>
  </cols>
  <sheetData>
    <row r="3" spans="2:7" ht="16.5" x14ac:dyDescent="0.35">
      <c r="D3" s="55" t="s">
        <v>158</v>
      </c>
      <c r="E3" s="55"/>
      <c r="F3" s="55"/>
      <c r="G3" s="55"/>
    </row>
    <row r="7" spans="2:7" ht="21" x14ac:dyDescent="0.35">
      <c r="B7" s="62" t="s">
        <v>197</v>
      </c>
      <c r="C7" s="62"/>
      <c r="D7" s="62"/>
      <c r="E7" s="62"/>
      <c r="F7" s="62"/>
      <c r="G7" s="62"/>
    </row>
    <row r="8" spans="2:7" x14ac:dyDescent="0.25">
      <c r="B8" s="47"/>
      <c r="C8" s="47"/>
      <c r="D8" s="47"/>
      <c r="E8" s="47"/>
      <c r="F8" s="47"/>
      <c r="G8" s="47"/>
    </row>
    <row r="9" spans="2:7" x14ac:dyDescent="0.25">
      <c r="B9" s="63" t="s">
        <v>198</v>
      </c>
      <c r="C9" s="63" t="s">
        <v>199</v>
      </c>
      <c r="D9" s="63" t="s">
        <v>200</v>
      </c>
      <c r="E9" s="63" t="s">
        <v>201</v>
      </c>
    </row>
    <row r="10" spans="2:7" x14ac:dyDescent="0.25">
      <c r="B10" s="63"/>
      <c r="C10" s="63"/>
      <c r="D10" s="63"/>
      <c r="E10" s="63"/>
    </row>
    <row r="11" spans="2:7" ht="18" x14ac:dyDescent="0.35">
      <c r="B11" s="21"/>
      <c r="C11" s="48" t="s">
        <v>23</v>
      </c>
      <c r="D11" s="48" t="s">
        <v>202</v>
      </c>
      <c r="E11" s="48" t="s">
        <v>203</v>
      </c>
    </row>
    <row r="12" spans="2:7" x14ac:dyDescent="0.25">
      <c r="B12" s="49" t="s">
        <v>213</v>
      </c>
      <c r="C12" s="50">
        <v>5000</v>
      </c>
      <c r="D12" s="51">
        <f>VLOOKUP(B12,Gorivo!$B$9:$C$23,2,FALSE)</f>
        <v>4.9000000000000002E-2</v>
      </c>
      <c r="E12" s="52">
        <f>IF(B12&lt;&gt;"Gorivo",C12*D12,"")</f>
        <v>245</v>
      </c>
    </row>
    <row r="13" spans="2:7" x14ac:dyDescent="0.25">
      <c r="B13" s="49" t="s">
        <v>19</v>
      </c>
      <c r="C13" s="50">
        <v>60000</v>
      </c>
      <c r="D13" s="51">
        <f>VLOOKUP(B13,Gorivo!$B$9:$C$23,2,FALSE)</f>
        <v>0.33</v>
      </c>
      <c r="E13" s="52">
        <f t="shared" ref="E13:E17" si="0">IF(B13&lt;&gt;"Gorivo",C13*D13,"")</f>
        <v>19800</v>
      </c>
    </row>
    <row r="14" spans="2:7" x14ac:dyDescent="0.25">
      <c r="B14" s="49" t="s">
        <v>204</v>
      </c>
      <c r="C14" s="50"/>
      <c r="D14" s="51">
        <f>VLOOKUP(B14,Gorivo!$B$9:$C$23,2,FALSE)</f>
        <v>0</v>
      </c>
      <c r="E14" s="52" t="str">
        <f t="shared" si="0"/>
        <v/>
      </c>
    </row>
    <row r="15" spans="2:7" x14ac:dyDescent="0.25">
      <c r="B15" s="49" t="s">
        <v>204</v>
      </c>
      <c r="C15" s="50"/>
      <c r="D15" s="51">
        <f>VLOOKUP(B15,Gorivo!$B$9:$C$23,2,FALSE)</f>
        <v>0</v>
      </c>
      <c r="E15" s="52" t="str">
        <f t="shared" si="0"/>
        <v/>
      </c>
    </row>
    <row r="16" spans="2:7" x14ac:dyDescent="0.25">
      <c r="B16" s="49" t="s">
        <v>204</v>
      </c>
      <c r="C16" s="50"/>
      <c r="D16" s="51">
        <f>VLOOKUP(B16,Gorivo!$B$9:$C$23,2,FALSE)</f>
        <v>0</v>
      </c>
      <c r="E16" s="52" t="str">
        <f t="shared" si="0"/>
        <v/>
      </c>
    </row>
    <row r="17" spans="2:5" x14ac:dyDescent="0.25">
      <c r="B17" s="49" t="s">
        <v>204</v>
      </c>
      <c r="C17" s="50"/>
      <c r="D17" s="51">
        <f>VLOOKUP(B17,Gorivo!$B$9:$C$23,2,FALSE)</f>
        <v>0</v>
      </c>
      <c r="E17" s="52" t="str">
        <f t="shared" si="0"/>
        <v/>
      </c>
    </row>
    <row r="18" spans="2:5" x14ac:dyDescent="0.25">
      <c r="B18" s="21" t="s">
        <v>69</v>
      </c>
      <c r="C18" s="52">
        <f>SUM(C12:C17)</f>
        <v>65000</v>
      </c>
      <c r="D18" s="51"/>
      <c r="E18" s="52">
        <f>SUM(E12:E17)</f>
        <v>20045</v>
      </c>
    </row>
    <row r="20" spans="2:5" ht="18" x14ac:dyDescent="0.35">
      <c r="B20" s="61" t="s">
        <v>205</v>
      </c>
      <c r="C20" s="61"/>
      <c r="D20" s="61"/>
      <c r="E20" s="48" t="s">
        <v>206</v>
      </c>
    </row>
    <row r="21" spans="2:5" x14ac:dyDescent="0.25">
      <c r="B21" s="61"/>
      <c r="C21" s="61"/>
      <c r="D21" s="61"/>
      <c r="E21" s="53">
        <f>E18/C18</f>
        <v>0.30838461538461537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U39"/>
  <sheetViews>
    <sheetView workbookViewId="0">
      <selection activeCell="H32" sqref="H32"/>
    </sheetView>
  </sheetViews>
  <sheetFormatPr defaultRowHeight="15" x14ac:dyDescent="0.25"/>
  <cols>
    <col min="3" max="3" width="36.42578125" customWidth="1"/>
    <col min="8" max="8" width="10.28515625" customWidth="1"/>
    <col min="14" max="14" width="10.140625" customWidth="1"/>
    <col min="21" max="21" width="10.28515625" customWidth="1"/>
  </cols>
  <sheetData>
    <row r="3" spans="2:21" ht="16.5" x14ac:dyDescent="0.35">
      <c r="D3" s="55" t="s">
        <v>158</v>
      </c>
      <c r="E3" s="55"/>
      <c r="F3" s="55"/>
      <c r="G3" s="55"/>
    </row>
    <row r="7" spans="2:21" ht="15" customHeight="1" x14ac:dyDescent="0.25">
      <c r="B7" s="17" t="s">
        <v>33</v>
      </c>
      <c r="C7" t="s">
        <v>32</v>
      </c>
      <c r="F7">
        <v>1</v>
      </c>
      <c r="H7" s="21" t="s">
        <v>10</v>
      </c>
      <c r="I7" t="s">
        <v>50</v>
      </c>
      <c r="N7" s="21" t="s">
        <v>3</v>
      </c>
      <c r="O7" t="s">
        <v>4</v>
      </c>
    </row>
    <row r="8" spans="2:21" x14ac:dyDescent="0.25">
      <c r="C8" t="s">
        <v>34</v>
      </c>
      <c r="F8">
        <v>2</v>
      </c>
      <c r="I8" t="s">
        <v>51</v>
      </c>
      <c r="O8" t="s">
        <v>5</v>
      </c>
    </row>
    <row r="9" spans="2:21" x14ac:dyDescent="0.25">
      <c r="C9" t="s">
        <v>35</v>
      </c>
      <c r="F9">
        <v>3</v>
      </c>
      <c r="I9" t="s">
        <v>120</v>
      </c>
      <c r="O9" t="s">
        <v>6</v>
      </c>
    </row>
    <row r="10" spans="2:21" x14ac:dyDescent="0.25">
      <c r="C10" t="s">
        <v>36</v>
      </c>
      <c r="F10">
        <v>4</v>
      </c>
      <c r="I10" t="s">
        <v>121</v>
      </c>
      <c r="O10" t="s">
        <v>7</v>
      </c>
    </row>
    <row r="11" spans="2:21" x14ac:dyDescent="0.25">
      <c r="C11" t="s">
        <v>37</v>
      </c>
      <c r="F11">
        <v>5</v>
      </c>
      <c r="I11" t="s">
        <v>122</v>
      </c>
      <c r="O11" t="s">
        <v>8</v>
      </c>
    </row>
    <row r="12" spans="2:21" x14ac:dyDescent="0.25">
      <c r="C12" t="s">
        <v>38</v>
      </c>
      <c r="F12">
        <v>6</v>
      </c>
      <c r="I12" t="s">
        <v>123</v>
      </c>
      <c r="O12" t="s">
        <v>30</v>
      </c>
    </row>
    <row r="13" spans="2:21" x14ac:dyDescent="0.25">
      <c r="C13" t="s">
        <v>39</v>
      </c>
      <c r="F13">
        <v>7</v>
      </c>
      <c r="I13" t="s">
        <v>124</v>
      </c>
    </row>
    <row r="14" spans="2:21" x14ac:dyDescent="0.25">
      <c r="C14" t="s">
        <v>40</v>
      </c>
      <c r="F14">
        <v>8</v>
      </c>
      <c r="I14" t="s">
        <v>111</v>
      </c>
    </row>
    <row r="15" spans="2:21" x14ac:dyDescent="0.25">
      <c r="C15" t="s">
        <v>41</v>
      </c>
      <c r="F15">
        <v>9</v>
      </c>
      <c r="H15" s="12"/>
      <c r="I15" t="s">
        <v>110</v>
      </c>
      <c r="N15" s="21" t="s">
        <v>9</v>
      </c>
      <c r="O15" t="s">
        <v>53</v>
      </c>
      <c r="T15" s="58" t="s">
        <v>133</v>
      </c>
      <c r="U15" s="58"/>
    </row>
    <row r="16" spans="2:21" x14ac:dyDescent="0.25">
      <c r="C16" t="s">
        <v>42</v>
      </c>
      <c r="F16">
        <v>10</v>
      </c>
      <c r="H16" s="12"/>
      <c r="I16" t="s">
        <v>112</v>
      </c>
      <c r="O16" t="s">
        <v>54</v>
      </c>
      <c r="T16" t="s">
        <v>130</v>
      </c>
    </row>
    <row r="17" spans="3:20" x14ac:dyDescent="0.25">
      <c r="C17" t="s">
        <v>43</v>
      </c>
      <c r="F17">
        <v>11</v>
      </c>
      <c r="I17" t="s">
        <v>11</v>
      </c>
      <c r="O17" t="s">
        <v>55</v>
      </c>
      <c r="T17" t="s">
        <v>134</v>
      </c>
    </row>
    <row r="18" spans="3:20" x14ac:dyDescent="0.25">
      <c r="C18" t="s">
        <v>44</v>
      </c>
      <c r="F18">
        <v>12</v>
      </c>
      <c r="I18" t="s">
        <v>113</v>
      </c>
      <c r="O18" t="s">
        <v>56</v>
      </c>
    </row>
    <row r="19" spans="3:20" ht="18" x14ac:dyDescent="0.35">
      <c r="C19" t="s">
        <v>45</v>
      </c>
      <c r="F19">
        <v>13</v>
      </c>
      <c r="I19" t="s">
        <v>52</v>
      </c>
      <c r="O19" t="s">
        <v>57</v>
      </c>
    </row>
    <row r="20" spans="3:20" x14ac:dyDescent="0.25">
      <c r="C20" t="s">
        <v>46</v>
      </c>
      <c r="F20">
        <v>14</v>
      </c>
    </row>
    <row r="21" spans="3:20" ht="18" x14ac:dyDescent="0.35">
      <c r="C21" t="s">
        <v>47</v>
      </c>
      <c r="F21">
        <v>15</v>
      </c>
      <c r="H21" s="64" t="s">
        <v>154</v>
      </c>
      <c r="I21" s="64"/>
      <c r="J21" s="64"/>
      <c r="N21" s="21" t="s">
        <v>11</v>
      </c>
      <c r="O21" t="s">
        <v>58</v>
      </c>
    </row>
    <row r="22" spans="3:20" x14ac:dyDescent="0.25">
      <c r="C22" t="s">
        <v>48</v>
      </c>
      <c r="F22">
        <v>16</v>
      </c>
      <c r="I22" t="s">
        <v>155</v>
      </c>
      <c r="K22" s="3">
        <f>+UnosPodataka!F25</f>
        <v>0</v>
      </c>
      <c r="L22" s="20">
        <v>0</v>
      </c>
      <c r="O22" t="s">
        <v>59</v>
      </c>
    </row>
    <row r="23" spans="3:20" x14ac:dyDescent="0.25">
      <c r="C23" t="s">
        <v>49</v>
      </c>
      <c r="F23">
        <v>17</v>
      </c>
      <c r="I23" t="s">
        <v>156</v>
      </c>
      <c r="K23" s="3">
        <f>+Loan</f>
        <v>84500</v>
      </c>
      <c r="L23" s="20">
        <f>+UnosPodataka!M23</f>
        <v>0.12</v>
      </c>
      <c r="O23" t="s">
        <v>60</v>
      </c>
    </row>
    <row r="24" spans="3:20" x14ac:dyDescent="0.25">
      <c r="C24" t="s">
        <v>119</v>
      </c>
      <c r="F24">
        <v>18</v>
      </c>
      <c r="I24" t="s">
        <v>30</v>
      </c>
      <c r="K24" s="3">
        <f>+Equity</f>
        <v>7000</v>
      </c>
      <c r="L24" s="7">
        <f>+UnosPodataka!M24</f>
        <v>5.8299999999999998E-2</v>
      </c>
      <c r="O24" t="s">
        <v>61</v>
      </c>
    </row>
    <row r="25" spans="3:20" x14ac:dyDescent="0.25">
      <c r="C25" s="16" t="e">
        <f>VLOOKUP(Pocetna!M12,C7:F23,4,FALSE)</f>
        <v>#N/A</v>
      </c>
      <c r="J25" t="s">
        <v>157</v>
      </c>
      <c r="K25" s="3">
        <f>SUM(K22:K24)</f>
        <v>91500</v>
      </c>
      <c r="L25" s="7">
        <f>+(K22*L22+K23*L23+K24*L24)/K25</f>
        <v>0.11527978142076503</v>
      </c>
      <c r="O25" t="s">
        <v>63</v>
      </c>
    </row>
    <row r="26" spans="3:20" x14ac:dyDescent="0.25">
      <c r="C26" s="11"/>
      <c r="O26" t="s">
        <v>153</v>
      </c>
    </row>
    <row r="27" spans="3:20" x14ac:dyDescent="0.25">
      <c r="O27" t="s">
        <v>62</v>
      </c>
    </row>
    <row r="28" spans="3:20" x14ac:dyDescent="0.25">
      <c r="C28" s="28"/>
      <c r="N28" s="21" t="s">
        <v>12</v>
      </c>
    </row>
    <row r="29" spans="3:20" x14ac:dyDescent="0.25">
      <c r="C29" s="29"/>
      <c r="O29" t="s">
        <v>13</v>
      </c>
      <c r="Q29" s="3">
        <v>0.2</v>
      </c>
    </row>
    <row r="30" spans="3:20" x14ac:dyDescent="0.25">
      <c r="O30" t="s">
        <v>14</v>
      </c>
      <c r="Q30" s="3">
        <v>0.22</v>
      </c>
    </row>
    <row r="31" spans="3:20" x14ac:dyDescent="0.25">
      <c r="O31" t="s">
        <v>15</v>
      </c>
      <c r="Q31" s="3">
        <v>0.27</v>
      </c>
    </row>
    <row r="32" spans="3:20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160</v>
      </c>
      <c r="Q35" s="3">
        <v>0.22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140</v>
      </c>
      <c r="Q39" s="8">
        <f>SUM(KonvFaktor!E21)</f>
        <v>0.30838461538461537</v>
      </c>
    </row>
  </sheetData>
  <sheetProtection selectLockedCells="1"/>
  <mergeCells count="3">
    <mergeCell ref="T15:U15"/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5"/>
  <sheetViews>
    <sheetView workbookViewId="0">
      <selection activeCell="F3" sqref="F3:I3"/>
    </sheetView>
  </sheetViews>
  <sheetFormatPr defaultRowHeight="15" x14ac:dyDescent="0.25"/>
  <cols>
    <col min="5" max="5" width="23.425781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5" t="s">
        <v>158</v>
      </c>
      <c r="G3" s="55"/>
      <c r="H3" s="55"/>
      <c r="I3" s="55"/>
    </row>
    <row r="7" spans="2:16" x14ac:dyDescent="0.25">
      <c r="B7" s="68" t="s">
        <v>64</v>
      </c>
      <c r="C7" s="68"/>
      <c r="D7" s="68"/>
      <c r="E7" s="68"/>
      <c r="F7" s="1" t="s">
        <v>1</v>
      </c>
      <c r="I7" s="67" t="s">
        <v>64</v>
      </c>
      <c r="J7" s="67"/>
      <c r="K7" s="67"/>
      <c r="L7" s="67"/>
      <c r="M7" s="2" t="s">
        <v>22</v>
      </c>
    </row>
    <row r="8" spans="2:16" x14ac:dyDescent="0.25">
      <c r="O8" s="59" t="s">
        <v>138</v>
      </c>
      <c r="P8" s="59"/>
    </row>
    <row r="9" spans="2:16" x14ac:dyDescent="0.25">
      <c r="B9" s="65" t="s">
        <v>50</v>
      </c>
      <c r="C9" s="65"/>
      <c r="D9" s="65"/>
      <c r="E9" s="65"/>
      <c r="F9" s="9">
        <v>3000</v>
      </c>
      <c r="I9" s="65" t="s">
        <v>53</v>
      </c>
      <c r="J9" s="65"/>
      <c r="K9" s="65"/>
      <c r="L9" s="65"/>
      <c r="M9" s="9">
        <v>100</v>
      </c>
      <c r="O9" s="59"/>
      <c r="P9" s="59"/>
    </row>
    <row r="10" spans="2:16" x14ac:dyDescent="0.25">
      <c r="B10" s="65" t="s">
        <v>51</v>
      </c>
      <c r="C10" s="65"/>
      <c r="D10" s="65"/>
      <c r="E10" s="65"/>
      <c r="F10" s="9">
        <v>1000</v>
      </c>
      <c r="I10" s="65" t="s">
        <v>54</v>
      </c>
      <c r="J10" s="65"/>
      <c r="K10" s="65"/>
      <c r="L10" s="65"/>
      <c r="M10" s="7">
        <v>1</v>
      </c>
    </row>
    <row r="11" spans="2:16" x14ac:dyDescent="0.25">
      <c r="B11" s="65" t="s">
        <v>120</v>
      </c>
      <c r="C11" s="65"/>
      <c r="D11" s="65"/>
      <c r="E11" s="65"/>
      <c r="F11" s="9">
        <v>48000</v>
      </c>
      <c r="I11" s="65" t="s">
        <v>55</v>
      </c>
      <c r="J11" s="65"/>
      <c r="K11" s="65"/>
      <c r="L11" s="65"/>
      <c r="M11" s="25">
        <v>1.4999999999999999E-2</v>
      </c>
      <c r="O11" s="60" t="s">
        <v>139</v>
      </c>
      <c r="P11" s="60"/>
    </row>
    <row r="12" spans="2:16" x14ac:dyDescent="0.25">
      <c r="B12" s="65" t="s">
        <v>121</v>
      </c>
      <c r="C12" s="65"/>
      <c r="D12" s="65"/>
      <c r="E12" s="65"/>
      <c r="F12" s="9">
        <v>6000</v>
      </c>
      <c r="I12" s="65" t="s">
        <v>56</v>
      </c>
      <c r="J12" s="65"/>
      <c r="K12" s="65"/>
      <c r="L12" s="65"/>
      <c r="M12" s="25">
        <v>0.05</v>
      </c>
      <c r="O12" s="60"/>
      <c r="P12" s="60"/>
    </row>
    <row r="13" spans="2:16" x14ac:dyDescent="0.25">
      <c r="B13" s="65" t="s">
        <v>122</v>
      </c>
      <c r="C13" s="65"/>
      <c r="D13" s="65"/>
      <c r="E13" s="65"/>
      <c r="F13" s="9">
        <v>20000</v>
      </c>
      <c r="I13" s="65" t="s">
        <v>65</v>
      </c>
      <c r="J13" s="65"/>
      <c r="K13" s="65"/>
      <c r="L13" s="65"/>
      <c r="M13" s="26">
        <v>97.44</v>
      </c>
    </row>
    <row r="14" spans="2:16" x14ac:dyDescent="0.25">
      <c r="B14" s="65" t="s">
        <v>123</v>
      </c>
      <c r="C14" s="65"/>
      <c r="D14" s="65"/>
      <c r="E14" s="65"/>
      <c r="F14" s="9">
        <v>3500</v>
      </c>
      <c r="I14" s="22"/>
      <c r="J14" s="22"/>
      <c r="K14" s="22"/>
      <c r="L14" s="22"/>
      <c r="M14" s="8"/>
    </row>
    <row r="15" spans="2:16" x14ac:dyDescent="0.25">
      <c r="B15" s="65" t="s">
        <v>124</v>
      </c>
      <c r="C15" s="65"/>
      <c r="D15" s="65"/>
      <c r="E15" s="65"/>
      <c r="F15" s="9">
        <v>2500</v>
      </c>
      <c r="I15" s="22"/>
      <c r="J15" s="22"/>
      <c r="K15" s="22"/>
      <c r="L15" s="22"/>
      <c r="M15" s="8"/>
    </row>
    <row r="16" spans="2:16" x14ac:dyDescent="0.25">
      <c r="B16" s="65" t="s">
        <v>111</v>
      </c>
      <c r="C16" s="65"/>
      <c r="D16" s="65"/>
      <c r="E16" s="65"/>
      <c r="F16" s="9">
        <v>1500</v>
      </c>
      <c r="I16" s="22"/>
      <c r="J16" s="22"/>
      <c r="K16" s="22"/>
      <c r="L16" s="22"/>
      <c r="M16" s="8"/>
    </row>
    <row r="17" spans="2:13" x14ac:dyDescent="0.25">
      <c r="B17" s="65" t="s">
        <v>110</v>
      </c>
      <c r="C17" s="65"/>
      <c r="D17" s="65"/>
      <c r="E17" s="65"/>
      <c r="F17" s="9">
        <v>1000</v>
      </c>
      <c r="I17" s="22"/>
      <c r="J17" s="22"/>
      <c r="K17" s="22"/>
      <c r="L17" s="22"/>
      <c r="M17" s="8"/>
    </row>
    <row r="18" spans="2:13" x14ac:dyDescent="0.25">
      <c r="B18" s="65" t="s">
        <v>112</v>
      </c>
      <c r="C18" s="65"/>
      <c r="D18" s="65"/>
      <c r="E18" s="65"/>
      <c r="F18" s="9">
        <v>2000</v>
      </c>
      <c r="I18" s="22"/>
      <c r="J18" s="22"/>
      <c r="K18" s="22"/>
      <c r="L18" s="22"/>
      <c r="M18" s="8"/>
    </row>
    <row r="19" spans="2:13" x14ac:dyDescent="0.25">
      <c r="B19" s="65" t="s">
        <v>11</v>
      </c>
      <c r="C19" s="65"/>
      <c r="D19" s="65"/>
      <c r="E19" s="65"/>
      <c r="F19" s="9">
        <v>1000</v>
      </c>
      <c r="I19" s="22"/>
      <c r="J19" s="22"/>
      <c r="K19" s="22"/>
      <c r="L19" s="22"/>
      <c r="M19" s="8"/>
    </row>
    <row r="20" spans="2:13" x14ac:dyDescent="0.25">
      <c r="B20" s="65" t="s">
        <v>113</v>
      </c>
      <c r="C20" s="65"/>
      <c r="D20" s="65"/>
      <c r="E20" s="65"/>
      <c r="F20" s="9">
        <v>1000</v>
      </c>
      <c r="I20" s="22"/>
      <c r="J20" s="22"/>
      <c r="K20" s="22"/>
      <c r="L20" s="22"/>
      <c r="M20" s="8"/>
    </row>
    <row r="21" spans="2:13" x14ac:dyDescent="0.25">
      <c r="B21" s="65" t="s">
        <v>52</v>
      </c>
      <c r="C21" s="65"/>
      <c r="D21" s="65"/>
      <c r="E21" s="65"/>
      <c r="F21" s="9">
        <v>1000</v>
      </c>
      <c r="I21" s="66"/>
      <c r="J21" s="66"/>
      <c r="K21" s="66"/>
      <c r="L21" s="66"/>
      <c r="M21" s="7"/>
    </row>
    <row r="22" spans="2:13" x14ac:dyDescent="0.25">
      <c r="B22" s="65"/>
      <c r="C22" s="65"/>
      <c r="D22" s="65"/>
      <c r="E22" s="65"/>
      <c r="F22" s="9"/>
      <c r="I22" s="65" t="s">
        <v>61</v>
      </c>
      <c r="J22" s="65"/>
      <c r="K22" s="65"/>
      <c r="L22" s="65"/>
      <c r="M22" s="25">
        <v>0.06</v>
      </c>
    </row>
    <row r="23" spans="2:13" x14ac:dyDescent="0.25">
      <c r="E23" s="4" t="s">
        <v>67</v>
      </c>
      <c r="F23" s="3">
        <f>SUM(F9:F22)</f>
        <v>91500</v>
      </c>
      <c r="I23" s="65" t="s">
        <v>63</v>
      </c>
      <c r="J23" s="65"/>
      <c r="K23" s="65"/>
      <c r="L23" s="65"/>
      <c r="M23" s="7">
        <v>0.12</v>
      </c>
    </row>
    <row r="24" spans="2:13" x14ac:dyDescent="0.25">
      <c r="E24" s="4" t="s">
        <v>68</v>
      </c>
      <c r="F24" s="3">
        <f>F23*(1+PDV)</f>
        <v>109800</v>
      </c>
      <c r="I24" s="65" t="s">
        <v>153</v>
      </c>
      <c r="J24" s="65"/>
      <c r="K24" s="65"/>
      <c r="L24" s="65"/>
      <c r="M24" s="7">
        <v>5.8299999999999998E-2</v>
      </c>
    </row>
    <row r="25" spans="2:13" x14ac:dyDescent="0.25">
      <c r="B25" s="65" t="s">
        <v>5</v>
      </c>
      <c r="C25" s="65"/>
      <c r="D25" s="65"/>
      <c r="E25" s="65"/>
      <c r="F25" s="3">
        <v>0</v>
      </c>
      <c r="I25" s="65" t="s">
        <v>59</v>
      </c>
      <c r="J25" s="65"/>
      <c r="K25" s="65"/>
      <c r="L25" s="65"/>
      <c r="M25" s="27">
        <v>5</v>
      </c>
    </row>
    <row r="26" spans="2:13" x14ac:dyDescent="0.25">
      <c r="B26" s="65"/>
      <c r="C26" s="65"/>
      <c r="D26" s="65"/>
      <c r="E26" s="65"/>
      <c r="F26" s="3"/>
      <c r="I26" s="65" t="s">
        <v>62</v>
      </c>
      <c r="J26" s="65"/>
      <c r="K26" s="65"/>
      <c r="L26" s="65"/>
      <c r="M26" s="9" t="s">
        <v>140</v>
      </c>
    </row>
    <row r="27" spans="2:13" x14ac:dyDescent="0.25">
      <c r="B27" s="65"/>
      <c r="C27" s="65"/>
      <c r="D27" s="65"/>
      <c r="E27" s="65"/>
      <c r="F27" s="3"/>
      <c r="I27" s="65" t="s">
        <v>66</v>
      </c>
      <c r="J27" s="65"/>
      <c r="K27" s="65"/>
      <c r="L27" s="65"/>
      <c r="M27" s="3">
        <f>VLOOKUP(M26,PomTab1!O29:Q39,3,FALSE)</f>
        <v>0.30838461538461537</v>
      </c>
    </row>
    <row r="28" spans="2:13" x14ac:dyDescent="0.25">
      <c r="B28" s="65"/>
      <c r="C28" s="65"/>
      <c r="D28" s="65"/>
      <c r="E28" s="65"/>
      <c r="F28" s="3"/>
      <c r="I28" s="65" t="s">
        <v>60</v>
      </c>
      <c r="J28" s="65"/>
      <c r="K28" s="65"/>
      <c r="L28" s="65"/>
      <c r="M28" s="10">
        <v>20</v>
      </c>
    </row>
    <row r="29" spans="2:13" x14ac:dyDescent="0.25">
      <c r="B29" s="65"/>
      <c r="C29" s="65"/>
      <c r="D29" s="65"/>
      <c r="E29" s="65"/>
      <c r="F29" s="3"/>
    </row>
    <row r="30" spans="2:13" x14ac:dyDescent="0.25">
      <c r="B30" s="65" t="s">
        <v>30</v>
      </c>
      <c r="C30" s="65"/>
      <c r="D30" s="65"/>
      <c r="E30" s="65"/>
      <c r="F30" s="3">
        <v>7000</v>
      </c>
      <c r="I30" s="65"/>
      <c r="J30" s="65"/>
      <c r="K30" s="65"/>
      <c r="L30" s="65"/>
      <c r="M30" s="13"/>
    </row>
    <row r="31" spans="2:13" x14ac:dyDescent="0.25">
      <c r="E31" s="5" t="s">
        <v>69</v>
      </c>
      <c r="F31" s="3">
        <f>IF(SUM(F25:F30)&gt;F23,FALSE,SUM(F25:F30))</f>
        <v>7000</v>
      </c>
      <c r="I31" s="65"/>
      <c r="J31" s="65"/>
      <c r="K31" s="65"/>
      <c r="L31" s="65"/>
      <c r="M31" s="3"/>
    </row>
    <row r="32" spans="2:13" x14ac:dyDescent="0.25">
      <c r="F32" s="3"/>
      <c r="I32" s="65"/>
      <c r="J32" s="65"/>
      <c r="K32" s="65"/>
      <c r="L32" s="65"/>
      <c r="M32" s="13"/>
    </row>
    <row r="33" spans="5:8" x14ac:dyDescent="0.25">
      <c r="E33" s="4" t="s">
        <v>70</v>
      </c>
      <c r="F33" s="3">
        <f>F23-F31</f>
        <v>84500</v>
      </c>
    </row>
    <row r="35" spans="5:8" x14ac:dyDescent="0.25">
      <c r="H35" s="44"/>
    </row>
  </sheetData>
  <sheetProtection selectLockedCells="1"/>
  <mergeCells count="41">
    <mergeCell ref="F3:I3"/>
    <mergeCell ref="B20:E20"/>
    <mergeCell ref="B16:E16"/>
    <mergeCell ref="B15:E15"/>
    <mergeCell ref="B14:E14"/>
    <mergeCell ref="I7:L7"/>
    <mergeCell ref="B12:E12"/>
    <mergeCell ref="B13:E13"/>
    <mergeCell ref="B7:E7"/>
    <mergeCell ref="B9:E9"/>
    <mergeCell ref="B10:E10"/>
    <mergeCell ref="B11:E11"/>
    <mergeCell ref="I9:L9"/>
    <mergeCell ref="I10:L10"/>
    <mergeCell ref="B29:E29"/>
    <mergeCell ref="B17:E17"/>
    <mergeCell ref="B19:E19"/>
    <mergeCell ref="B18:E18"/>
    <mergeCell ref="B30:E30"/>
    <mergeCell ref="B25:E25"/>
    <mergeCell ref="B26:E26"/>
    <mergeCell ref="B27:E27"/>
    <mergeCell ref="B28:E28"/>
    <mergeCell ref="B21:E21"/>
    <mergeCell ref="B22:E22"/>
    <mergeCell ref="O8:P9"/>
    <mergeCell ref="O11:P12"/>
    <mergeCell ref="I30:L30"/>
    <mergeCell ref="I31:L31"/>
    <mergeCell ref="I32:L32"/>
    <mergeCell ref="I23:L23"/>
    <mergeCell ref="I25:L25"/>
    <mergeCell ref="I26:L26"/>
    <mergeCell ref="I27:L27"/>
    <mergeCell ref="I28:L28"/>
    <mergeCell ref="I11:L11"/>
    <mergeCell ref="I12:L12"/>
    <mergeCell ref="I13:L13"/>
    <mergeCell ref="I22:L22"/>
    <mergeCell ref="I21:L21"/>
    <mergeCell ref="I24:L24"/>
  </mergeCells>
  <dataValidations count="15">
    <dataValidation type="whole" allowBlank="1" showInputMessage="1" showErrorMessage="1" errorTitle="Restriction" error="Ne može biti više od 1.000.000 EUR" promptTitle="COSTSN" prompt="Unesi planirane troškove grupe pozicija" sqref="F9:F10 F12:F22">
      <formula1>0</formula1>
      <formula2>1000000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Iznos ne može biti veći od 110 EUR/t CO2" promptTitle="CO2TAX" prompt="Preporučuje se iznos 55 EUR/t CO2." sqref="M14:M20">
      <formula1>0</formula1>
      <formula2>110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5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8">
      <formula1>0</formula1>
      <formula2>20</formula2>
    </dataValidation>
    <dataValidation type="whole" allowBlank="1" showInputMessage="1" showErrorMessage="1" errorTitle="Restriction" error="Ne može biti više od 5.000.000 EUR" promptTitle="COSTSN" prompt="Unesi planirane troškove grupe pozicija" sqref="F11">
      <formula1>0</formula1>
      <formula2>5000000</formula2>
    </dataValidation>
    <dataValidation type="whole" allowBlank="1" showInputMessage="1" showErrorMessage="1" errorTitle="Restriction" error="Maksimalni iznos do 2.000.000 EUR" promptTitle="Grant scheme" prompt="Unesi iznos granta ili učešća krajnjih korisnika ili sopstveni kapital javne ESCO kompanije" sqref="F25:F29">
      <formula1>0</formula1>
      <formula2>2000000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30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4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3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2">
      <formula1>0</formula1>
      <formula2>0.1</formula2>
    </dataValidation>
  </dataValidations>
  <hyperlinks>
    <hyperlink ref="O8:P9" location="Pocetna!M9" display="NAZAD"/>
    <hyperlink ref="O11:P12" location="TroskoviEnergij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B25:E30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I13:L20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PomTab1!$O$29:$O$39</xm:f>
          </x14:formula1>
          <xm:sqref>M26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PomTab1!$I$7:$I$20</xm:f>
          </x14:formula1>
          <xm:sqref>B9:B22 C9:E17 C19:E22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PomTab1!$O$21:$O$27</xm:f>
          </x14:formula1>
          <xm:sqref>I28:L28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I23:I24 J23:L23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PomTab1!$O$21:$O$27</xm:f>
          </x14:formula1>
          <xm:sqref>I26:L27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R28"/>
  <sheetViews>
    <sheetView zoomScaleNormal="100" workbookViewId="0">
      <selection activeCell="T23" sqref="T23"/>
    </sheetView>
  </sheetViews>
  <sheetFormatPr defaultRowHeight="15" x14ac:dyDescent="0.25"/>
  <cols>
    <col min="9" max="9" width="10.28515625" customWidth="1"/>
    <col min="10" max="10" width="14" customWidth="1"/>
    <col min="11" max="11" width="7.85546875" hidden="1" customWidth="1"/>
    <col min="12" max="12" width="14.28515625" hidden="1" customWidth="1"/>
  </cols>
  <sheetData>
    <row r="3" spans="2:18" ht="16.5" x14ac:dyDescent="0.35">
      <c r="F3" s="55" t="s">
        <v>158</v>
      </c>
      <c r="G3" s="55"/>
      <c r="H3" s="55"/>
      <c r="I3" s="55"/>
    </row>
    <row r="7" spans="2:18" ht="21" x14ac:dyDescent="0.35">
      <c r="B7" s="62" t="s">
        <v>71</v>
      </c>
      <c r="C7" s="62"/>
      <c r="D7" s="62"/>
      <c r="E7" s="62"/>
      <c r="F7" s="62"/>
      <c r="G7" s="62"/>
    </row>
    <row r="9" spans="2:18" x14ac:dyDescent="0.25">
      <c r="B9" s="69" t="s">
        <v>125</v>
      </c>
      <c r="C9" s="69"/>
      <c r="D9" s="69"/>
      <c r="E9" s="69"/>
      <c r="F9" s="69"/>
      <c r="G9" s="69"/>
      <c r="I9" s="6" t="s">
        <v>23</v>
      </c>
      <c r="J9" s="14">
        <f>J14*WHOUR</f>
        <v>1400</v>
      </c>
      <c r="N9" s="59" t="s">
        <v>138</v>
      </c>
      <c r="O9" s="59"/>
      <c r="Q9" s="60" t="s">
        <v>139</v>
      </c>
      <c r="R9" s="60"/>
    </row>
    <row r="10" spans="2:18" x14ac:dyDescent="0.25">
      <c r="B10" s="65" t="s">
        <v>72</v>
      </c>
      <c r="C10" s="65"/>
      <c r="D10" s="65"/>
      <c r="E10" s="65"/>
      <c r="F10" s="65"/>
      <c r="G10" s="65"/>
      <c r="I10" s="6" t="s">
        <v>28</v>
      </c>
      <c r="J10" s="14">
        <v>12080</v>
      </c>
      <c r="N10" s="59"/>
      <c r="O10" s="59"/>
      <c r="Q10" s="60"/>
      <c r="R10" s="60"/>
    </row>
    <row r="11" spans="2:18" x14ac:dyDescent="0.25">
      <c r="B11" s="65" t="s">
        <v>73</v>
      </c>
      <c r="C11" s="65"/>
      <c r="D11" s="65"/>
      <c r="E11" s="65"/>
      <c r="F11" s="65"/>
      <c r="G11" s="65"/>
      <c r="I11" s="6" t="s">
        <v>28</v>
      </c>
      <c r="J11" s="14">
        <v>8900</v>
      </c>
    </row>
    <row r="12" spans="2:18" x14ac:dyDescent="0.25">
      <c r="B12" s="65" t="s">
        <v>114</v>
      </c>
      <c r="C12" s="65"/>
      <c r="D12" s="65"/>
      <c r="E12" s="65"/>
      <c r="F12" s="65"/>
      <c r="G12" s="65"/>
      <c r="I12" s="6" t="s">
        <v>29</v>
      </c>
      <c r="J12" s="24">
        <v>0.9</v>
      </c>
    </row>
    <row r="13" spans="2:18" x14ac:dyDescent="0.25">
      <c r="B13" s="65" t="s">
        <v>74</v>
      </c>
      <c r="C13" s="65"/>
      <c r="D13" s="65"/>
      <c r="E13" s="65"/>
      <c r="F13" s="65"/>
      <c r="G13" s="65"/>
      <c r="I13" s="6" t="s">
        <v>29</v>
      </c>
      <c r="J13" s="24">
        <v>0.95</v>
      </c>
    </row>
    <row r="14" spans="2:18" x14ac:dyDescent="0.25">
      <c r="B14" s="65" t="s">
        <v>115</v>
      </c>
      <c r="C14" s="65"/>
      <c r="D14" s="65"/>
      <c r="E14" s="65"/>
      <c r="F14" s="65"/>
      <c r="G14" s="65"/>
      <c r="I14" s="6" t="s">
        <v>31</v>
      </c>
      <c r="J14" s="14">
        <v>1</v>
      </c>
    </row>
    <row r="15" spans="2:18" ht="17.25" x14ac:dyDescent="0.25">
      <c r="B15" s="65" t="s">
        <v>126</v>
      </c>
      <c r="C15" s="65"/>
      <c r="D15" s="65"/>
      <c r="E15" s="65"/>
      <c r="F15" s="65"/>
      <c r="G15" s="65"/>
      <c r="I15" s="6" t="s">
        <v>127</v>
      </c>
      <c r="J15" s="14">
        <v>8500</v>
      </c>
    </row>
    <row r="16" spans="2:18" x14ac:dyDescent="0.25">
      <c r="B16" s="65" t="s">
        <v>75</v>
      </c>
      <c r="C16" s="65"/>
      <c r="D16" s="65"/>
      <c r="E16" s="65"/>
      <c r="F16" s="65"/>
      <c r="G16" s="65"/>
      <c r="I16" s="6" t="s">
        <v>29</v>
      </c>
      <c r="J16" s="14">
        <v>1400</v>
      </c>
    </row>
    <row r="17" spans="2:15" x14ac:dyDescent="0.25">
      <c r="B17" s="65" t="s">
        <v>128</v>
      </c>
      <c r="C17" s="65"/>
      <c r="D17" s="65"/>
      <c r="E17" s="65"/>
      <c r="F17" s="65"/>
      <c r="G17" s="65"/>
      <c r="I17" s="58" t="s">
        <v>15</v>
      </c>
      <c r="J17" s="58"/>
    </row>
    <row r="18" spans="2:15" x14ac:dyDescent="0.25">
      <c r="B18" s="22" t="s">
        <v>132</v>
      </c>
      <c r="C18" s="22"/>
      <c r="D18" s="22"/>
      <c r="E18" s="22"/>
      <c r="F18" s="22"/>
      <c r="G18" s="22"/>
      <c r="I18" s="58" t="s">
        <v>134</v>
      </c>
      <c r="J18" s="58"/>
    </row>
    <row r="19" spans="2:15" ht="17.25" x14ac:dyDescent="0.25">
      <c r="B19" s="65" t="s">
        <v>129</v>
      </c>
      <c r="C19" s="65"/>
      <c r="D19" s="65"/>
      <c r="E19" s="65"/>
      <c r="F19" s="65"/>
      <c r="G19" s="65"/>
      <c r="I19" s="6" t="s">
        <v>131</v>
      </c>
      <c r="J19" s="14">
        <v>32</v>
      </c>
    </row>
    <row r="20" spans="2:15" x14ac:dyDescent="0.25">
      <c r="B20" s="65" t="s">
        <v>129</v>
      </c>
      <c r="C20" s="65"/>
      <c r="D20" s="65"/>
      <c r="E20" s="65"/>
      <c r="F20" s="65"/>
      <c r="G20" s="65"/>
      <c r="I20" s="6" t="s">
        <v>134</v>
      </c>
      <c r="J20" s="14">
        <v>272</v>
      </c>
    </row>
    <row r="21" spans="2:15" x14ac:dyDescent="0.25">
      <c r="B21" s="65" t="s">
        <v>135</v>
      </c>
      <c r="C21" s="65"/>
      <c r="D21" s="65"/>
      <c r="E21" s="65"/>
      <c r="F21" s="65"/>
      <c r="G21" s="65"/>
      <c r="I21" s="6" t="s">
        <v>116</v>
      </c>
      <c r="J21" s="14">
        <f>IF(ModelF="RSD/kW",HPCAP*1000*HRED*12/Kurs_EUR,EPOW*EFFTPS*12/Kurs_EUR)</f>
        <v>27828.933906281974</v>
      </c>
    </row>
    <row r="23" spans="2:15" ht="18" x14ac:dyDescent="0.35">
      <c r="B23" t="s">
        <v>76</v>
      </c>
      <c r="I23" s="58" t="s">
        <v>160</v>
      </c>
      <c r="J23" s="58"/>
    </row>
    <row r="24" spans="2:15" ht="18" x14ac:dyDescent="0.35">
      <c r="B24" t="s">
        <v>77</v>
      </c>
      <c r="I24" s="17" t="s">
        <v>117</v>
      </c>
      <c r="J24" s="14">
        <f>(VLOOKUP(I17,PomTab1!O29:Q39,3,FALSE) - VLOOKUP(I23,PomTab1!O29:Q39,3,FALSE))*HEAT/(eta*etagrid)</f>
        <v>81.871345029239805</v>
      </c>
      <c r="L24" s="6"/>
    </row>
    <row r="28" spans="2:15" x14ac:dyDescent="0.25">
      <c r="O28" s="30"/>
    </row>
  </sheetData>
  <sheetProtection selectLockedCells="1"/>
  <mergeCells count="19">
    <mergeCell ref="F3:I3"/>
    <mergeCell ref="B7:G7"/>
    <mergeCell ref="B15:G15"/>
    <mergeCell ref="B9:G9"/>
    <mergeCell ref="B10:G10"/>
    <mergeCell ref="B11:G11"/>
    <mergeCell ref="B12:G12"/>
    <mergeCell ref="B13:G13"/>
    <mergeCell ref="B14:G14"/>
    <mergeCell ref="N9:O10"/>
    <mergeCell ref="Q9:R10"/>
    <mergeCell ref="I23:J23"/>
    <mergeCell ref="B16:G16"/>
    <mergeCell ref="B17:G17"/>
    <mergeCell ref="B19:G19"/>
    <mergeCell ref="B20:G20"/>
    <mergeCell ref="B21:G21"/>
    <mergeCell ref="I17:J17"/>
    <mergeCell ref="I18:J18"/>
  </mergeCells>
  <dataValidations count="2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6">
      <formula1>500</formula1>
      <formula2>3600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/>
  </dataValidations>
  <hyperlinks>
    <hyperlink ref="N9:O10" location="UnosPodataka!O4" display="NAZAD"/>
    <hyperlink ref="Q9:R10" location="Anuiteti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PomTab1!$O$29:$O$39</xm:f>
          </x14:formula1>
          <xm:sqref>I23:J23</xm:sqref>
        </x14:dataValidation>
        <x14:dataValidation type="list" allowBlank="1" showInputMessage="1" showErrorMessage="1" errorTitle="Restriction" error="Samo navedeno na listi" promptTitle="FuelBP" prompt="Gorivo ili energija pre projekta">
          <x14:formula1>
            <xm:f>PomTab1!$O$29:$O$38</xm:f>
          </x14:formula1>
          <xm:sqref>I17:J17</xm:sqref>
        </x14:dataValidation>
        <x14:dataValidation type="list" allowBlank="1" showInputMessage="1" showErrorMessage="1" errorTitle="Restriction" error="Dozvoljen je samo izbor sa liste" promptTitle="FIKSNI" prompt="Izaberi način obrsčuna fiksnog dela cene grejanja">
          <x14:formula1>
            <xm:f>PomTab1!$T$16:$T$17</xm:f>
          </x14:formula1>
          <xm:sqref>I18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M32"/>
  <sheetViews>
    <sheetView workbookViewId="0">
      <selection activeCell="D5" sqref="D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5" t="s">
        <v>158</v>
      </c>
      <c r="E3" s="55"/>
      <c r="F3" s="55"/>
      <c r="G3" s="55"/>
    </row>
    <row r="7" spans="2:13" ht="21" x14ac:dyDescent="0.35">
      <c r="B7" s="62" t="s">
        <v>78</v>
      </c>
      <c r="C7" s="62"/>
      <c r="D7" s="62"/>
      <c r="E7" s="62"/>
      <c r="F7" s="62"/>
      <c r="G7" s="62"/>
    </row>
    <row r="9" spans="2:13" x14ac:dyDescent="0.25">
      <c r="B9" t="s">
        <v>79</v>
      </c>
      <c r="D9" s="6" t="s">
        <v>1</v>
      </c>
      <c r="E9" s="15">
        <f>Loan</f>
        <v>84500</v>
      </c>
      <c r="I9" s="59" t="s">
        <v>138</v>
      </c>
      <c r="J9" s="59"/>
      <c r="L9" s="60" t="s">
        <v>139</v>
      </c>
      <c r="M9" s="60"/>
    </row>
    <row r="10" spans="2:13" x14ac:dyDescent="0.25">
      <c r="I10" s="59"/>
      <c r="J10" s="59"/>
      <c r="L10" s="60"/>
      <c r="M10" s="60"/>
    </row>
    <row r="11" spans="2:13" x14ac:dyDescent="0.25">
      <c r="B11" s="16" t="s">
        <v>24</v>
      </c>
      <c r="C11" s="16" t="s">
        <v>80</v>
      </c>
      <c r="D11" s="16" t="s">
        <v>81</v>
      </c>
      <c r="E11" s="16" t="s">
        <v>82</v>
      </c>
    </row>
    <row r="13" spans="2:13" x14ac:dyDescent="0.25">
      <c r="B13">
        <v>1</v>
      </c>
      <c r="C13" s="3">
        <f>E9</f>
        <v>84500</v>
      </c>
      <c r="D13" s="3">
        <f>IF(UnosPodataka!M23=0,"",UnosPodataka!$M$23*Anuiteti!$E$9)</f>
        <v>10140</v>
      </c>
      <c r="E13" s="3">
        <f>PMT(UnosPodataka!$M$23,UnosPodataka!$M$25,Anuiteti!$E$9)</f>
        <v>-23441.122349018631</v>
      </c>
    </row>
    <row r="14" spans="2:13" x14ac:dyDescent="0.25">
      <c r="B14">
        <f>IF(B13&lt;UnosPodataka!$M$25,B13+1,"")</f>
        <v>2</v>
      </c>
      <c r="C14" s="3">
        <f>IF(B14&lt;&gt;"",SUM(C13:E13),"")</f>
        <v>71198.877650981362</v>
      </c>
      <c r="D14" s="3">
        <f>IF(B14&lt;&gt;"",C14*UnosPodataka!$M$23,"")</f>
        <v>8543.8653181177633</v>
      </c>
      <c r="E14" s="3">
        <f>IF(B14&lt;&gt;"",PMT(UnosPodataka!$M$23,UnosPodataka!$M$25,Anuiteti!$E$9),"")</f>
        <v>-23441.122349018631</v>
      </c>
    </row>
    <row r="15" spans="2:13" x14ac:dyDescent="0.25">
      <c r="B15">
        <f>IF(B14&lt;UnosPodataka!$M$25,B14+1,"")</f>
        <v>3</v>
      </c>
      <c r="C15" s="3">
        <f t="shared" ref="C15:C32" si="0">IF(B15&lt;&gt;"",SUM(C14:E14),"")</f>
        <v>56301.620620080495</v>
      </c>
      <c r="D15" s="3">
        <f>IF(B15&lt;&gt;"",C15*UnosPodataka!$M$23,"")</f>
        <v>6756.1944744096591</v>
      </c>
      <c r="E15" s="3">
        <f>IF(B15&lt;&gt;"",PMT(UnosPodataka!$M$23,UnosPodataka!$M$25,Anuiteti!$E$9),"")</f>
        <v>-23441.122349018631</v>
      </c>
    </row>
    <row r="16" spans="2:13" x14ac:dyDescent="0.25">
      <c r="B16">
        <f>IF(B15&lt;UnosPodataka!$M$25,B15+1,"")</f>
        <v>4</v>
      </c>
      <c r="C16" s="3">
        <f t="shared" si="0"/>
        <v>39616.692745471526</v>
      </c>
      <c r="D16" s="3">
        <f>IF(B16&lt;&gt;"",C16*UnosPodataka!$M$23,"")</f>
        <v>4754.0031294565833</v>
      </c>
      <c r="E16" s="3">
        <f>IF(B16&lt;&gt;"",PMT(UnosPodataka!$M$23,UnosPodataka!$M$25,Anuiteti!$E$9),"")</f>
        <v>-23441.122349018631</v>
      </c>
    </row>
    <row r="17" spans="2:5" x14ac:dyDescent="0.25">
      <c r="B17">
        <f>IF(B16&lt;UnosPodataka!$M$25,B16+1,"")</f>
        <v>5</v>
      </c>
      <c r="C17" s="3">
        <f t="shared" si="0"/>
        <v>20929.57352590948</v>
      </c>
      <c r="D17" s="3">
        <f>IF(B17&lt;&gt;"",C17*UnosPodataka!$M$23,"")</f>
        <v>2511.5488231091376</v>
      </c>
      <c r="E17" s="3">
        <f>IF(B17&lt;&gt;"",PMT(UnosPodataka!$M$23,UnosPodataka!$M$25,Anuiteti!$E$9),"")</f>
        <v>-23441.122349018631</v>
      </c>
    </row>
    <row r="18" spans="2:5" x14ac:dyDescent="0.25">
      <c r="B18" t="str">
        <f>IF(B17&lt;UnosPodataka!$M$25,B17+1,"")</f>
        <v/>
      </c>
      <c r="C18" s="3" t="str">
        <f t="shared" si="0"/>
        <v/>
      </c>
      <c r="D18" s="3" t="str">
        <f>IF(B18&lt;&gt;"",C18*UnosPodataka!$M$23,"")</f>
        <v/>
      </c>
      <c r="E18" s="3" t="str">
        <f>IF(B18&lt;&gt;"",PMT(UnosPodataka!$M$23,UnosPodataka!$M$25,Anuiteti!$E$9),"")</f>
        <v/>
      </c>
    </row>
    <row r="19" spans="2:5" x14ac:dyDescent="0.25">
      <c r="B19" t="str">
        <f>IF(B18&lt;UnosPodataka!$M$25,B18+1,"")</f>
        <v/>
      </c>
      <c r="C19" s="3" t="str">
        <f t="shared" si="0"/>
        <v/>
      </c>
      <c r="D19" s="3" t="str">
        <f>IF(B19&lt;&gt;"",C19*UnosPodataka!$M$23,"")</f>
        <v/>
      </c>
      <c r="E19" s="3" t="str">
        <f>IF(B19&lt;&gt;"",PMT(UnosPodataka!$M$23,UnosPodataka!$M$25,Anuiteti!$E$9),"")</f>
        <v/>
      </c>
    </row>
    <row r="20" spans="2:5" x14ac:dyDescent="0.25">
      <c r="B20" t="str">
        <f>IF(B19&lt;UnosPodataka!$M$25,B19+1,"")</f>
        <v/>
      </c>
      <c r="C20" s="3" t="str">
        <f t="shared" si="0"/>
        <v/>
      </c>
      <c r="D20" s="3" t="str">
        <f>IF(B20&lt;&gt;"",C20*UnosPodataka!$M$23,"")</f>
        <v/>
      </c>
      <c r="E20" s="3" t="str">
        <f>IF(B20&lt;&gt;"",PMT(UnosPodataka!$M$23,UnosPodataka!$M$25,Anuiteti!$E$9),"")</f>
        <v/>
      </c>
    </row>
    <row r="21" spans="2:5" x14ac:dyDescent="0.25">
      <c r="B21" t="str">
        <f>IF(B20&lt;UnosPodataka!$M$25,B20+1,"")</f>
        <v/>
      </c>
      <c r="C21" s="3" t="str">
        <f t="shared" si="0"/>
        <v/>
      </c>
      <c r="D21" s="3" t="str">
        <f>IF(B21&lt;&gt;"",C21*UnosPodataka!$M$23,"")</f>
        <v/>
      </c>
      <c r="E21" s="3" t="str">
        <f>IF(B21&lt;&gt;"",PMT(UnosPodataka!$M$23,UnosPodataka!$M$25,Anuiteti!$E$9),"")</f>
        <v/>
      </c>
    </row>
    <row r="22" spans="2:5" x14ac:dyDescent="0.25">
      <c r="B22" t="str">
        <f>IF(B21&lt;UnosPodataka!$M$25,B21+1,"")</f>
        <v/>
      </c>
      <c r="C22" s="3" t="str">
        <f t="shared" si="0"/>
        <v/>
      </c>
      <c r="D22" s="3" t="str">
        <f>IF(B22&lt;&gt;"",C22*UnosPodataka!$M$23,"")</f>
        <v/>
      </c>
      <c r="E22" s="3" t="str">
        <f>IF(B22&lt;&gt;"",PMT(UnosPodataka!$M$23,UnosPodataka!$M$25,Anuiteti!$E$9),"")</f>
        <v/>
      </c>
    </row>
    <row r="23" spans="2:5" x14ac:dyDescent="0.25">
      <c r="B23" t="str">
        <f>IF(B22&lt;UnosPodataka!$M$25,B22+1,"")</f>
        <v/>
      </c>
      <c r="C23" s="3" t="str">
        <f t="shared" si="0"/>
        <v/>
      </c>
      <c r="D23" s="3" t="str">
        <f>IF(B23&lt;&gt;"",C23*UnosPodataka!$M$23,"")</f>
        <v/>
      </c>
      <c r="E23" s="3" t="str">
        <f>IF(B23&lt;&gt;"",PMT(UnosPodataka!$M$23,UnosPodataka!$M$25,Anuiteti!$E$9),"")</f>
        <v/>
      </c>
    </row>
    <row r="24" spans="2:5" x14ac:dyDescent="0.25">
      <c r="B24" t="str">
        <f>IF(B23&lt;UnosPodataka!$M$25,B23+1,"")</f>
        <v/>
      </c>
      <c r="C24" s="3" t="str">
        <f t="shared" si="0"/>
        <v/>
      </c>
      <c r="D24" s="3" t="str">
        <f>IF(B24&lt;&gt;"",C24*UnosPodataka!$M$23,"")</f>
        <v/>
      </c>
      <c r="E24" s="3" t="str">
        <f>IF(B24&lt;&gt;"",PMT(UnosPodataka!$M$23,UnosPodataka!$M$25,Anuiteti!$E$9),"")</f>
        <v/>
      </c>
    </row>
    <row r="25" spans="2:5" x14ac:dyDescent="0.25">
      <c r="B25" t="str">
        <f>IF(B24&lt;UnosPodataka!$M$25,B24+1,"")</f>
        <v/>
      </c>
      <c r="C25" s="3" t="str">
        <f t="shared" si="0"/>
        <v/>
      </c>
      <c r="D25" s="3" t="str">
        <f>IF(B25&lt;&gt;"",C25*UnosPodataka!$M$23,"")</f>
        <v/>
      </c>
      <c r="E25" s="3" t="str">
        <f>IF(B25&lt;&gt;"",PMT(UnosPodataka!$M$23,UnosPodataka!$M$25,Anuiteti!$E$9),"")</f>
        <v/>
      </c>
    </row>
    <row r="26" spans="2:5" x14ac:dyDescent="0.25">
      <c r="B26" t="str">
        <f>IF(B25&lt;UnosPodataka!$M$25,B25+1,"")</f>
        <v/>
      </c>
      <c r="C26" s="3" t="str">
        <f t="shared" si="0"/>
        <v/>
      </c>
      <c r="D26" s="3" t="str">
        <f>IF(B26&lt;&gt;"",C26*UnosPodataka!$M$23,"")</f>
        <v/>
      </c>
      <c r="E26" s="3" t="str">
        <f>IF(B26&lt;&gt;"",PMT(UnosPodataka!$M$23,UnosPodataka!$M$25,Anuiteti!$E$9),"")</f>
        <v/>
      </c>
    </row>
    <row r="27" spans="2:5" x14ac:dyDescent="0.25">
      <c r="B27" t="str">
        <f>IF(B26&lt;UnosPodataka!$M$25,B26+1,"")</f>
        <v/>
      </c>
      <c r="C27" s="3" t="str">
        <f t="shared" si="0"/>
        <v/>
      </c>
      <c r="D27" s="3" t="str">
        <f>IF(B27&lt;&gt;"",C27*UnosPodataka!$M$23,"")</f>
        <v/>
      </c>
      <c r="E27" s="3" t="str">
        <f>IF(B27&lt;&gt;"",PMT(UnosPodataka!$M$23,UnosPodataka!$M$25,Anuiteti!$E$9),"")</f>
        <v/>
      </c>
    </row>
    <row r="28" spans="2:5" x14ac:dyDescent="0.25">
      <c r="B28" t="str">
        <f>IF(B27&lt;UnosPodataka!$M$25,B27+1,"")</f>
        <v/>
      </c>
      <c r="C28" s="3" t="str">
        <f t="shared" si="0"/>
        <v/>
      </c>
      <c r="D28" s="3" t="str">
        <f>IF(B28&lt;&gt;"",C28*UnosPodataka!$M$23,"")</f>
        <v/>
      </c>
      <c r="E28" s="3" t="str">
        <f>IF(B28&lt;&gt;"",PMT(UnosPodataka!$M$23,UnosPodataka!$M$25,Anuiteti!$E$9),"")</f>
        <v/>
      </c>
    </row>
    <row r="29" spans="2:5" x14ac:dyDescent="0.25">
      <c r="B29" t="str">
        <f>IF(B28&lt;UnosPodataka!$M$25,B28+1,"")</f>
        <v/>
      </c>
      <c r="C29" s="3" t="str">
        <f t="shared" si="0"/>
        <v/>
      </c>
      <c r="D29" s="3" t="str">
        <f>IF(B29&lt;&gt;"",C29*UnosPodataka!$M$23,"")</f>
        <v/>
      </c>
      <c r="E29" s="3" t="str">
        <f>IF(B29&lt;&gt;"",PMT(UnosPodataka!$M$23,UnosPodataka!$M$25,Anuiteti!$E$9),"")</f>
        <v/>
      </c>
    </row>
    <row r="30" spans="2:5" x14ac:dyDescent="0.25">
      <c r="B30" t="str">
        <f>IF(B29&lt;UnosPodataka!$M$25,B29+1,"")</f>
        <v/>
      </c>
      <c r="C30" s="3" t="str">
        <f t="shared" si="0"/>
        <v/>
      </c>
      <c r="D30" s="3" t="str">
        <f>IF(B30&lt;&gt;"",C30*UnosPodataka!$M$23,"")</f>
        <v/>
      </c>
      <c r="E30" s="3" t="str">
        <f>IF(B30&lt;&gt;"",PMT(UnosPodataka!$M$23,UnosPodataka!$M$25,Anuiteti!$E$9),"")</f>
        <v/>
      </c>
    </row>
    <row r="31" spans="2:5" x14ac:dyDescent="0.25">
      <c r="B31" t="str">
        <f>IF(B30&lt;UnosPodataka!$M$25,B30+1,"")</f>
        <v/>
      </c>
      <c r="C31" s="3" t="str">
        <f t="shared" si="0"/>
        <v/>
      </c>
      <c r="D31" s="3" t="str">
        <f>IF(B31&lt;&gt;"",C31*UnosPodataka!$M$23,"")</f>
        <v/>
      </c>
      <c r="E31" s="3" t="str">
        <f>IF(B31&lt;&gt;"",PMT(UnosPodataka!$M$23,UnosPodataka!$M$25,Anuiteti!$E$9),"")</f>
        <v/>
      </c>
    </row>
    <row r="32" spans="2:5" x14ac:dyDescent="0.25">
      <c r="B32" t="str">
        <f>IF(B31&lt;UnosPodataka!$M$25,B31+1,"")</f>
        <v/>
      </c>
      <c r="C32" s="3" t="str">
        <f t="shared" si="0"/>
        <v/>
      </c>
      <c r="D32" s="3" t="str">
        <f>IF(B32&lt;&gt;"",C32*UnosPodataka!$M$23,"")</f>
        <v/>
      </c>
      <c r="E32" s="3" t="str">
        <f>IF(B32&lt;&gt;"",PMT(UnosPodataka!$M$23,UnosPodataka!$M$25,Anuiteti!$E$9),"")</f>
        <v/>
      </c>
    </row>
  </sheetData>
  <sheetProtection selectLockedCells="1"/>
  <mergeCells count="4">
    <mergeCell ref="B7:G7"/>
    <mergeCell ref="I9:J10"/>
    <mergeCell ref="L9:M10"/>
    <mergeCell ref="D3:G3"/>
  </mergeCells>
  <hyperlinks>
    <hyperlink ref="I9:J10" location="TroskoviEnergije!N4" display="NAZAD"/>
    <hyperlink ref="L9:M10" location="Fina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59"/>
  <sheetViews>
    <sheetView showZeros="0" zoomScale="80" zoomScaleNormal="80" workbookViewId="0">
      <selection activeCell="F21" sqref="F21"/>
    </sheetView>
  </sheetViews>
  <sheetFormatPr defaultRowHeight="15" x14ac:dyDescent="0.25"/>
  <cols>
    <col min="4" max="4" width="17.5703125" customWidth="1"/>
    <col min="5" max="5" width="13.5703125" customWidth="1"/>
    <col min="6" max="25" width="12.7109375" customWidth="1"/>
  </cols>
  <sheetData>
    <row r="3" spans="1:25" ht="16.5" x14ac:dyDescent="0.35">
      <c r="E3" s="55" t="s">
        <v>158</v>
      </c>
      <c r="F3" s="55"/>
      <c r="G3" s="55"/>
      <c r="H3" s="55"/>
    </row>
    <row r="7" spans="1:25" ht="21" x14ac:dyDescent="0.35">
      <c r="A7" s="62" t="s">
        <v>83</v>
      </c>
      <c r="B7" s="62"/>
      <c r="C7" s="62"/>
      <c r="D7" s="62"/>
      <c r="I7" s="59" t="s">
        <v>138</v>
      </c>
      <c r="J7" s="59"/>
      <c r="N7" s="60" t="s">
        <v>139</v>
      </c>
      <c r="O7" s="60"/>
    </row>
    <row r="9" spans="1:25" x14ac:dyDescent="0.25">
      <c r="A9" s="58" t="s">
        <v>84</v>
      </c>
      <c r="B9" s="58"/>
      <c r="C9" s="58"/>
      <c r="D9" s="58"/>
      <c r="E9" s="16">
        <v>0</v>
      </c>
      <c r="F9" s="16">
        <v>1</v>
      </c>
      <c r="G9" s="16">
        <f>IF(F9&lt;UnosPodataka!$M$28,FinaIndikatori!F9+1,"")</f>
        <v>2</v>
      </c>
      <c r="H9" s="16">
        <f>IF(G9&lt;UnosPodataka!$M$28,FinaIndikatori!G9+1,"")</f>
        <v>3</v>
      </c>
      <c r="I9" s="16">
        <f>IF(H9&lt;UnosPodataka!$M$28,FinaIndikatori!H9+1,"")</f>
        <v>4</v>
      </c>
      <c r="J9" s="16">
        <f>IF(I9&lt;UnosPodataka!$M$28,FinaIndikatori!I9+1,"")</f>
        <v>5</v>
      </c>
      <c r="K9" s="16">
        <f>IF(J9&lt;UnosPodataka!$M$28,FinaIndikatori!J9+1,"")</f>
        <v>6</v>
      </c>
      <c r="L9" s="16">
        <f>IF(K9&lt;UnosPodataka!$M$28,FinaIndikatori!K9+1,"")</f>
        <v>7</v>
      </c>
      <c r="M9" s="16">
        <f>IF(L9&lt;UnosPodataka!$M$28,FinaIndikatori!L9+1,"")</f>
        <v>8</v>
      </c>
      <c r="N9" s="16">
        <f>IF(M9&lt;UnosPodataka!$M$28,FinaIndikatori!M9+1,"")</f>
        <v>9</v>
      </c>
      <c r="O9" s="16">
        <f>IF(N9&lt;UnosPodataka!$M$28,FinaIndikatori!N9+1,"")</f>
        <v>10</v>
      </c>
      <c r="P9" s="16">
        <f>IF(O9&lt;UnosPodataka!$M$28,FinaIndikatori!O9+1,"")</f>
        <v>11</v>
      </c>
      <c r="Q9" s="16">
        <f>IF(P9&lt;UnosPodataka!$M$28,FinaIndikatori!P9+1,"")</f>
        <v>12</v>
      </c>
      <c r="R9" s="16">
        <f>IF(Q9&lt;UnosPodataka!$M$28,FinaIndikatori!Q9+1,"")</f>
        <v>13</v>
      </c>
      <c r="S9" s="16">
        <f>IF(R9&lt;UnosPodataka!$M$28,FinaIndikatori!R9+1,"")</f>
        <v>14</v>
      </c>
      <c r="T9" s="16">
        <f>IF(S9&lt;UnosPodataka!$M$28,FinaIndikatori!S9+1,"")</f>
        <v>15</v>
      </c>
      <c r="U9" s="16">
        <f>IF(T9&lt;UnosPodataka!$M$28,FinaIndikatori!T9+1,"")</f>
        <v>16</v>
      </c>
      <c r="V9" s="16">
        <f>IF(U9&lt;UnosPodataka!$M$28,FinaIndikatori!U9+1,"")</f>
        <v>17</v>
      </c>
      <c r="W9" s="16">
        <f>IF(V9&lt;UnosPodataka!$M$28,FinaIndikatori!V9+1,"")</f>
        <v>18</v>
      </c>
      <c r="X9" s="16">
        <f>IF(W9&lt;UnosPodataka!$M$28,FinaIndikatori!W9+1,"")</f>
        <v>19</v>
      </c>
      <c r="Y9" s="16">
        <f>IF(X9&lt;UnosPodataka!$M$28,FinaIndikatori!X9+1,"")</f>
        <v>20</v>
      </c>
    </row>
    <row r="11" spans="1:25" x14ac:dyDescent="0.25">
      <c r="A11" s="65" t="s">
        <v>85</v>
      </c>
      <c r="B11" s="65"/>
      <c r="C11" s="65"/>
      <c r="D11" s="65"/>
      <c r="E11" s="3">
        <f>Loan</f>
        <v>84500</v>
      </c>
    </row>
    <row r="12" spans="1:25" x14ac:dyDescent="0.25">
      <c r="A12" s="65" t="s">
        <v>86</v>
      </c>
      <c r="B12" s="65"/>
      <c r="C12" s="65"/>
      <c r="D12" s="65"/>
      <c r="E12" s="3">
        <f>IF(Equity=0,Loan,Equity)</f>
        <v>7000</v>
      </c>
    </row>
    <row r="13" spans="1:25" x14ac:dyDescent="0.25">
      <c r="A13" s="65" t="s">
        <v>161</v>
      </c>
      <c r="B13" s="65"/>
      <c r="C13" s="65"/>
      <c r="D13" s="65"/>
      <c r="E13" s="3">
        <f>+PomTab1!K22</f>
        <v>0</v>
      </c>
    </row>
    <row r="14" spans="1:25" x14ac:dyDescent="0.25">
      <c r="A14" s="22"/>
      <c r="B14" s="22"/>
      <c r="C14" s="22"/>
      <c r="D14" s="22"/>
      <c r="E14" s="3"/>
    </row>
    <row r="15" spans="1:25" x14ac:dyDescent="0.25">
      <c r="A15" s="58" t="s">
        <v>162</v>
      </c>
      <c r="B15" s="58"/>
      <c r="C15" s="58"/>
      <c r="D15" s="58"/>
      <c r="E15" s="3"/>
    </row>
    <row r="16" spans="1:25" x14ac:dyDescent="0.25">
      <c r="A16" s="65" t="s">
        <v>136</v>
      </c>
      <c r="B16" s="65"/>
      <c r="C16" s="65"/>
      <c r="D16" s="65"/>
      <c r="F16" s="3">
        <f t="shared" ref="F16:Y16" si="0">IF(F9&lt;&gt;"",Money,"")</f>
        <v>27828.933906281974</v>
      </c>
      <c r="G16" s="3">
        <f t="shared" si="0"/>
        <v>27828.933906281974</v>
      </c>
      <c r="H16" s="3">
        <f t="shared" si="0"/>
        <v>27828.933906281974</v>
      </c>
      <c r="I16" s="3">
        <f t="shared" si="0"/>
        <v>27828.933906281974</v>
      </c>
      <c r="J16" s="3">
        <f t="shared" si="0"/>
        <v>27828.933906281974</v>
      </c>
      <c r="K16" s="3">
        <f t="shared" si="0"/>
        <v>27828.933906281974</v>
      </c>
      <c r="L16" s="3">
        <f t="shared" si="0"/>
        <v>27828.933906281974</v>
      </c>
      <c r="M16" s="3">
        <f t="shared" si="0"/>
        <v>27828.933906281974</v>
      </c>
      <c r="N16" s="3">
        <f t="shared" si="0"/>
        <v>27828.933906281974</v>
      </c>
      <c r="O16" s="3">
        <f t="shared" si="0"/>
        <v>27828.933906281974</v>
      </c>
      <c r="P16" s="3">
        <f t="shared" si="0"/>
        <v>27828.933906281974</v>
      </c>
      <c r="Q16" s="3">
        <f t="shared" si="0"/>
        <v>27828.933906281974</v>
      </c>
      <c r="R16" s="3">
        <f t="shared" si="0"/>
        <v>27828.933906281974</v>
      </c>
      <c r="S16" s="3">
        <f t="shared" si="0"/>
        <v>27828.933906281974</v>
      </c>
      <c r="T16" s="3">
        <f t="shared" si="0"/>
        <v>27828.933906281974</v>
      </c>
      <c r="U16" s="3">
        <f t="shared" si="0"/>
        <v>27828.933906281974</v>
      </c>
      <c r="V16" s="3">
        <f t="shared" si="0"/>
        <v>27828.933906281974</v>
      </c>
      <c r="W16" s="3">
        <f t="shared" si="0"/>
        <v>27828.933906281974</v>
      </c>
      <c r="X16" s="3">
        <f t="shared" si="0"/>
        <v>27828.933906281974</v>
      </c>
      <c r="Y16" s="3">
        <f t="shared" si="0"/>
        <v>27828.933906281974</v>
      </c>
    </row>
    <row r="17" spans="1:25" x14ac:dyDescent="0.25">
      <c r="A17" s="70" t="s">
        <v>87</v>
      </c>
      <c r="B17" s="70"/>
      <c r="C17" s="70"/>
      <c r="D17" s="70"/>
      <c r="E17" s="31"/>
      <c r="F17" s="32">
        <f t="shared" ref="F17:Y17" si="1">IF(F9&lt;&gt;"",F16,"")</f>
        <v>27828.933906281974</v>
      </c>
      <c r="G17" s="32">
        <f t="shared" si="1"/>
        <v>27828.933906281974</v>
      </c>
      <c r="H17" s="32">
        <f t="shared" si="1"/>
        <v>27828.933906281974</v>
      </c>
      <c r="I17" s="32">
        <f t="shared" si="1"/>
        <v>27828.933906281974</v>
      </c>
      <c r="J17" s="32">
        <f t="shared" si="1"/>
        <v>27828.933906281974</v>
      </c>
      <c r="K17" s="32">
        <f t="shared" si="1"/>
        <v>27828.933906281974</v>
      </c>
      <c r="L17" s="32">
        <f t="shared" si="1"/>
        <v>27828.933906281974</v>
      </c>
      <c r="M17" s="32">
        <f t="shared" si="1"/>
        <v>27828.933906281974</v>
      </c>
      <c r="N17" s="32">
        <f t="shared" si="1"/>
        <v>27828.933906281974</v>
      </c>
      <c r="O17" s="32">
        <f t="shared" si="1"/>
        <v>27828.933906281974</v>
      </c>
      <c r="P17" s="32">
        <f t="shared" si="1"/>
        <v>27828.933906281974</v>
      </c>
      <c r="Q17" s="32">
        <f t="shared" si="1"/>
        <v>27828.933906281974</v>
      </c>
      <c r="R17" s="32">
        <f t="shared" si="1"/>
        <v>27828.933906281974</v>
      </c>
      <c r="S17" s="32">
        <f t="shared" si="1"/>
        <v>27828.933906281974</v>
      </c>
      <c r="T17" s="32">
        <f t="shared" si="1"/>
        <v>27828.933906281974</v>
      </c>
      <c r="U17" s="32">
        <f t="shared" si="1"/>
        <v>27828.933906281974</v>
      </c>
      <c r="V17" s="32">
        <f t="shared" si="1"/>
        <v>27828.933906281974</v>
      </c>
      <c r="W17" s="32">
        <f t="shared" si="1"/>
        <v>27828.933906281974</v>
      </c>
      <c r="X17" s="32">
        <f t="shared" si="1"/>
        <v>27828.933906281974</v>
      </c>
      <c r="Y17" s="32">
        <f t="shared" si="1"/>
        <v>27828.933906281974</v>
      </c>
    </row>
    <row r="18" spans="1:25" x14ac:dyDescent="0.25">
      <c r="A18" s="66"/>
      <c r="B18" s="66"/>
      <c r="C18" s="66"/>
      <c r="D18" s="66"/>
    </row>
    <row r="19" spans="1:25" x14ac:dyDescent="0.25">
      <c r="A19" s="58" t="s">
        <v>163</v>
      </c>
      <c r="B19" s="58"/>
      <c r="C19" s="58"/>
      <c r="D19" s="58"/>
    </row>
    <row r="20" spans="1:25" x14ac:dyDescent="0.25">
      <c r="A20" s="65" t="s">
        <v>88</v>
      </c>
      <c r="B20" s="65"/>
      <c r="C20" s="65"/>
      <c r="D20" s="65"/>
      <c r="F20" s="3">
        <f>IF(F9&gt;UnosPodataka!$M$25,"",-VLOOKUP(F9,Anuiteti!$B$13:$E$32,3,FALSE))</f>
        <v>-10140</v>
      </c>
      <c r="G20" s="3">
        <f>IF(G9&gt;UnosPodataka!$M$25,"",-VLOOKUP(G9,Anuiteti!$B$13:$E$32,3,FALSE))</f>
        <v>-8543.8653181177633</v>
      </c>
      <c r="H20" s="3">
        <f>IF(H9&gt;UnosPodataka!$M$25,"",-VLOOKUP(H9,Anuiteti!$B$13:$E$32,3,FALSE))</f>
        <v>-6756.1944744096591</v>
      </c>
      <c r="I20" s="3">
        <f>IF(I9&gt;UnosPodataka!$M$25,"",-VLOOKUP(I9,Anuiteti!$B$13:$E$32,3,FALSE))</f>
        <v>-4754.0031294565833</v>
      </c>
      <c r="J20" s="3">
        <f>IF(J9&gt;UnosPodataka!$M$25,"",-VLOOKUP(J9,Anuiteti!$B$13:$E$32,3,FALSE))</f>
        <v>-2511.5488231091376</v>
      </c>
      <c r="K20" s="3" t="str">
        <f>IF(K9&gt;UnosPodataka!$M$25,"",-VLOOKUP(K9,Anuiteti!$B$13:$E$32,3,FALSE))</f>
        <v/>
      </c>
      <c r="L20" s="3" t="str">
        <f>IF(L9&gt;UnosPodataka!$M$25,"",-VLOOKUP(L9,Anuiteti!$B$13:$E$32,3,FALSE))</f>
        <v/>
      </c>
      <c r="M20" s="3" t="str">
        <f>IF(M9&gt;UnosPodataka!$M$25,"",-VLOOKUP(M9,Anuiteti!$B$13:$E$32,3,FALSE))</f>
        <v/>
      </c>
      <c r="N20" s="3" t="str">
        <f>IF(N9&gt;UnosPodataka!$M$25,"",-VLOOKUP(N9,Anuiteti!$B$13:$E$32,3,FALSE))</f>
        <v/>
      </c>
      <c r="O20" s="3" t="str">
        <f>IF(O9&gt;UnosPodataka!$M$25,"",-VLOOKUP(O9,Anuiteti!$B$13:$E$32,3,FALSE))</f>
        <v/>
      </c>
      <c r="P20" s="3" t="str">
        <f>IF(P9&gt;UnosPodataka!$M$25,"",-VLOOKUP(P9,Anuiteti!$B$13:$E$32,3,FALSE))</f>
        <v/>
      </c>
      <c r="Q20" s="3" t="str">
        <f>IF(Q9&gt;UnosPodataka!$M$25,"",-VLOOKUP(Q9,Anuiteti!$B$13:$E$32,3,FALSE))</f>
        <v/>
      </c>
      <c r="R20" s="3" t="str">
        <f>IF(R9&gt;UnosPodataka!$M$25,"",-VLOOKUP(R9,Anuiteti!$B$13:$E$32,3,FALSE))</f>
        <v/>
      </c>
      <c r="S20" s="3" t="str">
        <f>IF(S9&gt;UnosPodataka!$M$25,"",-VLOOKUP(S9,Anuiteti!$B$13:$E$32,3,FALSE))</f>
        <v/>
      </c>
      <c r="T20" s="3" t="str">
        <f>IF(T9&gt;UnosPodataka!$M$25,"",-VLOOKUP(T9,Anuiteti!$B$13:$E$32,3,FALSE))</f>
        <v/>
      </c>
      <c r="U20" s="3" t="str">
        <f>IF(U9&gt;UnosPodataka!$M$25,"",-VLOOKUP(U9,Anuiteti!$B$13:$E$32,3,FALSE))</f>
        <v/>
      </c>
      <c r="V20" s="3" t="str">
        <f>IF(V9&gt;UnosPodataka!$M$25,"",-VLOOKUP(V9,Anuiteti!$B$13:$E$32,3,FALSE))</f>
        <v/>
      </c>
      <c r="W20" s="3" t="str">
        <f>IF(W9&gt;UnosPodataka!$M$25,"",-VLOOKUP(W9,Anuiteti!$B$13:$E$32,3,FALSE))</f>
        <v/>
      </c>
      <c r="X20" s="3" t="str">
        <f>IF(X9&gt;UnosPodataka!$M$25,"",-VLOOKUP(X9,Anuiteti!$B$13:$E$32,3,FALSE))</f>
        <v/>
      </c>
      <c r="Y20" s="3" t="str">
        <f>IF(Y9&gt;UnosPodataka!$M$25,"",-VLOOKUP(Y9,Anuiteti!$B$13:$E$32,3,FALSE))</f>
        <v/>
      </c>
    </row>
    <row r="21" spans="1:25" x14ac:dyDescent="0.25">
      <c r="A21" s="22" t="s">
        <v>164</v>
      </c>
      <c r="B21" s="22"/>
      <c r="C21" s="22"/>
      <c r="D21" s="22"/>
      <c r="F21" s="3">
        <f>IF(F20="",0,IF(F9&gt;UnosPodataka!$M$25,"",VLOOKUP(F9,Anuiteti!$B$13:$E$32,4,FALSE)+VLOOKUP(F9,Anuiteti!$B$13:$E$32,3,FALSE)))</f>
        <v>-13301.122349018631</v>
      </c>
      <c r="G21" s="3">
        <f>IF(G20="",0,IF(G9&gt;UnosPodataka!$M$25,"",VLOOKUP(G9,Anuiteti!$B$13:$E$32,4,FALSE)+VLOOKUP(G9,Anuiteti!$B$13:$E$32,3,FALSE)))</f>
        <v>-14897.257030900868</v>
      </c>
      <c r="H21" s="3">
        <f>IF(H20="",0,IF(H9&gt;UnosPodataka!$M$25,"",VLOOKUP(H9,Anuiteti!$B$13:$E$32,4,FALSE)+VLOOKUP(H9,Anuiteti!$B$13:$E$32,3,FALSE)))</f>
        <v>-16684.927874608973</v>
      </c>
      <c r="I21" s="3">
        <f>IF(I20="",0,IF(I9&gt;UnosPodataka!$M$25,"",VLOOKUP(I9,Anuiteti!$B$13:$E$32,4,FALSE)+VLOOKUP(I9,Anuiteti!$B$13:$E$32,3,FALSE)))</f>
        <v>-18687.119219562046</v>
      </c>
      <c r="J21" s="3">
        <f>IF(J20="",0,IF(J9&gt;UnosPodataka!$M$25,"",VLOOKUP(J9,Anuiteti!$B$13:$E$32,4,FALSE)+VLOOKUP(J9,Anuiteti!$B$13:$E$32,3,FALSE)))</f>
        <v>-20929.573525909494</v>
      </c>
      <c r="K21" s="3">
        <f>IF(K20="",0,IF(K9&gt;UnosPodataka!$M$25,"",VLOOKUP(K9,Anuiteti!$B$13:$E$32,4,FALSE)+VLOOKUP(K9,Anuiteti!$B$13:$E$32,3,FALSE)))</f>
        <v>0</v>
      </c>
      <c r="L21" s="3">
        <f>IF(L20="",0,IF(L9&gt;UnosPodataka!$M$25,"",VLOOKUP(L9,Anuiteti!$B$13:$E$32,4,FALSE)+VLOOKUP(L9,Anuiteti!$B$13:$E$32,3,FALSE)))</f>
        <v>0</v>
      </c>
      <c r="M21" s="3">
        <f>IF(M20="",0,IF(M9&gt;UnosPodataka!$M$25,"",VLOOKUP(M9,Anuiteti!$B$13:$E$32,4,FALSE)+VLOOKUP(M9,Anuiteti!$B$13:$E$32,3,FALSE)))</f>
        <v>0</v>
      </c>
      <c r="N21" s="3">
        <f>IF(N20="",0,IF(N9&gt;UnosPodataka!$M$25,"",VLOOKUP(N9,Anuiteti!$B$13:$E$32,4,FALSE)+VLOOKUP(N9,Anuiteti!$B$13:$E$32,3,FALSE)))</f>
        <v>0</v>
      </c>
      <c r="O21" s="3">
        <f>IF(O20="",0,IF(O9&gt;UnosPodataka!$M$25,"",VLOOKUP(O9,Anuiteti!$B$13:$E$32,4,FALSE)+VLOOKUP(O9,Anuiteti!$B$13:$E$32,3,FALSE)))</f>
        <v>0</v>
      </c>
      <c r="P21" s="3">
        <f>IF(P20="",0,IF(P9&gt;UnosPodataka!$M$25,"",VLOOKUP(P9,Anuiteti!$B$13:$E$32,4,FALSE)+VLOOKUP(P9,Anuiteti!$B$13:$E$32,3,FALSE)))</f>
        <v>0</v>
      </c>
      <c r="Q21" s="3">
        <f>IF(Q20="",0,IF(Q9&gt;UnosPodataka!$M$25,"",VLOOKUP(Q9,Anuiteti!$B$13:$E$32,4,FALSE)+VLOOKUP(Q9,Anuiteti!$B$13:$E$32,3,FALSE)))</f>
        <v>0</v>
      </c>
      <c r="R21" s="3">
        <f>IF(R20="",0,IF(R9&gt;UnosPodataka!$M$25,"",VLOOKUP(R9,Anuiteti!$B$13:$E$32,4,FALSE)+VLOOKUP(R9,Anuiteti!$B$13:$E$32,3,FALSE)))</f>
        <v>0</v>
      </c>
      <c r="S21" s="3">
        <f>IF(S20="",0,IF(S9&gt;UnosPodataka!$M$25,"",VLOOKUP(S9,Anuiteti!$B$13:$E$32,4,FALSE)+VLOOKUP(S9,Anuiteti!$B$13:$E$32,3,FALSE)))</f>
        <v>0</v>
      </c>
      <c r="T21" s="3">
        <f>IF(T20="",0,IF(T9&gt;UnosPodataka!$M$25,"",VLOOKUP(T9,Anuiteti!$B$13:$E$32,4,FALSE)+VLOOKUP(T9,Anuiteti!$B$13:$E$32,3,FALSE)))</f>
        <v>0</v>
      </c>
      <c r="U21" s="3">
        <f>IF(U20="",0,IF(U9&gt;UnosPodataka!$M$25,"",VLOOKUP(U9,Anuiteti!$B$13:$E$32,4,FALSE)+VLOOKUP(U9,Anuiteti!$B$13:$E$32,3,FALSE)))</f>
        <v>0</v>
      </c>
      <c r="V21" s="3">
        <f>IF(V20="",0,IF(V9&gt;UnosPodataka!$M$25,"",VLOOKUP(V9,Anuiteti!$B$13:$E$32,4,FALSE)+VLOOKUP(V9,Anuiteti!$B$13:$E$32,3,FALSE)))</f>
        <v>0</v>
      </c>
      <c r="W21" s="3">
        <f>IF(W20="",0,IF(W9&gt;UnosPodataka!$M$25,"",VLOOKUP(W9,Anuiteti!$B$13:$E$32,4,FALSE)+VLOOKUP(W9,Anuiteti!$B$13:$E$32,3,FALSE)))</f>
        <v>0</v>
      </c>
      <c r="X21" s="3">
        <f>IF(X20="",0,IF(X9&gt;UnosPodataka!$M$25,"",VLOOKUP(X9,Anuiteti!$B$13:$E$32,4,FALSE)+VLOOKUP(X9,Anuiteti!$B$13:$E$32,3,FALSE)))</f>
        <v>0</v>
      </c>
      <c r="Y21" s="3">
        <f>IF(Y20="",0,IF(Y9&gt;UnosPodataka!$M$25,"",VLOOKUP(Y9,Anuiteti!$B$13:$E$32,4,FALSE)+VLOOKUP(Y9,Anuiteti!$B$13:$E$32,3,FALSE)))</f>
        <v>0</v>
      </c>
    </row>
    <row r="22" spans="1:25" x14ac:dyDescent="0.25">
      <c r="A22" s="65" t="s">
        <v>89</v>
      </c>
      <c r="B22" s="65"/>
      <c r="C22" s="65"/>
      <c r="D22" s="65"/>
      <c r="F22" s="3">
        <f>IF(F9&lt;&gt;"",-UnosPodataka!$M$9,"")</f>
        <v>-100</v>
      </c>
      <c r="G22" s="3">
        <f>IF(G9&lt;&gt;"",-UnosPodataka!$M$9,"")</f>
        <v>-100</v>
      </c>
      <c r="H22" s="3">
        <f>IF(H9&lt;&gt;"",-UnosPodataka!$M$9,"")</f>
        <v>-100</v>
      </c>
      <c r="I22" s="3">
        <f>IF(I9&lt;&gt;"",-UnosPodataka!$M$9,"")</f>
        <v>-100</v>
      </c>
      <c r="J22" s="3">
        <f>IF(J9&lt;&gt;"",-UnosPodataka!$M$9,"")</f>
        <v>-100</v>
      </c>
      <c r="K22" s="3">
        <f>IF(K9&lt;&gt;"",-UnosPodataka!$M$9,"")</f>
        <v>-100</v>
      </c>
      <c r="L22" s="3">
        <f>IF(L9&lt;&gt;"",-UnosPodataka!$M$9,"")</f>
        <v>-100</v>
      </c>
      <c r="M22" s="3">
        <f>IF(M9&lt;&gt;"",-UnosPodataka!$M$9,"")</f>
        <v>-100</v>
      </c>
      <c r="N22" s="3">
        <f>IF(N9&lt;&gt;"",-UnosPodataka!$M$9,"")</f>
        <v>-100</v>
      </c>
      <c r="O22" s="3">
        <f>IF(O9&lt;&gt;"",-UnosPodataka!$M$9,"")</f>
        <v>-100</v>
      </c>
      <c r="P22" s="3">
        <f>IF(P9&lt;&gt;"",-UnosPodataka!$M$9,"")</f>
        <v>-100</v>
      </c>
      <c r="Q22" s="3">
        <f>IF(Q9&lt;&gt;"",-UnosPodataka!$M$9,"")</f>
        <v>-100</v>
      </c>
      <c r="R22" s="3">
        <f>IF(R9&lt;&gt;"",-UnosPodataka!$M$9,"")</f>
        <v>-100</v>
      </c>
      <c r="S22" s="3">
        <f>IF(S9&lt;&gt;"",-UnosPodataka!$M$9,"")</f>
        <v>-100</v>
      </c>
      <c r="T22" s="3">
        <f>IF(T9&lt;&gt;"",-UnosPodataka!$M$9,"")</f>
        <v>-100</v>
      </c>
      <c r="U22" s="3">
        <f>IF(U9&lt;&gt;"",-UnosPodataka!$M$9,"")</f>
        <v>-100</v>
      </c>
      <c r="V22" s="3">
        <f>IF(V9&lt;&gt;"",-UnosPodataka!$M$9,"")</f>
        <v>-100</v>
      </c>
      <c r="W22" s="3">
        <f>IF(W9&lt;&gt;"",-UnosPodataka!$M$9,"")</f>
        <v>-100</v>
      </c>
      <c r="X22" s="3">
        <f>IF(X9&lt;&gt;"",-UnosPodataka!$M$9,"")</f>
        <v>-100</v>
      </c>
      <c r="Y22" s="3">
        <f>IF(Y9&lt;&gt;"",-UnosPodataka!$M$9,"")</f>
        <v>-100</v>
      </c>
    </row>
    <row r="23" spans="1:25" x14ac:dyDescent="0.25">
      <c r="A23" s="65" t="s">
        <v>90</v>
      </c>
      <c r="B23" s="65"/>
      <c r="C23" s="65"/>
      <c r="D23" s="65"/>
      <c r="F23" s="3">
        <f>IF(F9&lt;&gt;"",-Investment*UnosPodataka!$M$11,"")</f>
        <v>-1372.5</v>
      </c>
      <c r="G23" s="3">
        <f>IF(G9&lt;&gt;"",-Investment*UnosPodataka!$M$11,"")</f>
        <v>-1372.5</v>
      </c>
      <c r="H23" s="3">
        <f>IF(H9&lt;&gt;"",-Investment*UnosPodataka!$M$11,"")</f>
        <v>-1372.5</v>
      </c>
      <c r="I23" s="3">
        <f>IF(I9&lt;&gt;"",-Investment*UnosPodataka!$M$11,"")</f>
        <v>-1372.5</v>
      </c>
      <c r="J23" s="3">
        <f>IF(J9&lt;&gt;"",-Investment*UnosPodataka!$M$11,"")</f>
        <v>-1372.5</v>
      </c>
      <c r="K23" s="3">
        <f>IF(K9&lt;&gt;"",-Investment*UnosPodataka!$M$11,"")</f>
        <v>-1372.5</v>
      </c>
      <c r="L23" s="3">
        <f>IF(L9&lt;&gt;"",-Investment*UnosPodataka!$M$11,"")</f>
        <v>-1372.5</v>
      </c>
      <c r="M23" s="3">
        <f>IF(M9&lt;&gt;"",-Investment*UnosPodataka!$M$11,"")</f>
        <v>-1372.5</v>
      </c>
      <c r="N23" s="3">
        <f>IF(N9&lt;&gt;"",-Investment*UnosPodataka!$M$11,"")</f>
        <v>-1372.5</v>
      </c>
      <c r="O23" s="3">
        <f>IF(O9&lt;&gt;"",-Investment*UnosPodataka!$M$11,"")</f>
        <v>-1372.5</v>
      </c>
      <c r="P23" s="3">
        <f>IF(P9&lt;&gt;"",-Investment*UnosPodataka!$M$11,"")</f>
        <v>-1372.5</v>
      </c>
      <c r="Q23" s="3">
        <f>IF(Q9&lt;&gt;"",-Investment*UnosPodataka!$M$11,"")</f>
        <v>-1372.5</v>
      </c>
      <c r="R23" s="3">
        <f>IF(R9&lt;&gt;"",-Investment*UnosPodataka!$M$11,"")</f>
        <v>-1372.5</v>
      </c>
      <c r="S23" s="3">
        <f>IF(S9&lt;&gt;"",-Investment*UnosPodataka!$M$11,"")</f>
        <v>-1372.5</v>
      </c>
      <c r="T23" s="3">
        <f>IF(T9&lt;&gt;"",-Investment*UnosPodataka!$M$11,"")</f>
        <v>-1372.5</v>
      </c>
      <c r="U23" s="3">
        <f>IF(U9&lt;&gt;"",-Investment*UnosPodataka!$M$11,"")</f>
        <v>-1372.5</v>
      </c>
      <c r="V23" s="3">
        <f>IF(V9&lt;&gt;"",-Investment*UnosPodataka!$M$11,"")</f>
        <v>-1372.5</v>
      </c>
      <c r="W23" s="3">
        <f>IF(W9&lt;&gt;"",-Investment*UnosPodataka!$M$11,"")</f>
        <v>-1372.5</v>
      </c>
      <c r="X23" s="3">
        <f>IF(X9&lt;&gt;"",-Investment*UnosPodataka!$M$11,"")</f>
        <v>-1372.5</v>
      </c>
      <c r="Y23" s="3">
        <f>IF(Y9&lt;&gt;"",-Investment*UnosPodataka!$M$11,"")</f>
        <v>-1372.5</v>
      </c>
    </row>
    <row r="24" spans="1:25" x14ac:dyDescent="0.25">
      <c r="A24" s="65" t="s">
        <v>91</v>
      </c>
      <c r="B24" s="65"/>
      <c r="C24" s="65"/>
      <c r="D24" s="65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x14ac:dyDescent="0.25">
      <c r="A25" s="65" t="s">
        <v>165</v>
      </c>
      <c r="B25" s="65"/>
      <c r="C25" s="65"/>
      <c r="D25" s="65"/>
      <c r="F25" s="3">
        <f>IF(F9&lt;&gt;"",-Investment*UnosPodataka!$M$12,"")</f>
        <v>-4575</v>
      </c>
      <c r="G25" s="3">
        <f>IF(G9&lt;&gt;"",-Investment*UnosPodataka!$M$12,"")</f>
        <v>-4575</v>
      </c>
      <c r="H25" s="3">
        <f>IF(H9&lt;&gt;"",-Investment*UnosPodataka!$M$12,"")</f>
        <v>-4575</v>
      </c>
      <c r="I25" s="3">
        <f>IF(I9&lt;&gt;"",-Investment*UnosPodataka!$M$12,"")</f>
        <v>-4575</v>
      </c>
      <c r="J25" s="3">
        <f>IF(J9&lt;&gt;"",-Investment*UnosPodataka!$M$12,"")</f>
        <v>-4575</v>
      </c>
      <c r="K25" s="3">
        <f>IF(K9&lt;&gt;"",-Investment*UnosPodataka!$M$12,"")</f>
        <v>-4575</v>
      </c>
      <c r="L25" s="3">
        <f>IF(L9&lt;&gt;"",-Investment*UnosPodataka!$M$12,"")</f>
        <v>-4575</v>
      </c>
      <c r="M25" s="3">
        <f>IF(M9&lt;&gt;"",-Investment*UnosPodataka!$M$12,"")</f>
        <v>-4575</v>
      </c>
      <c r="N25" s="3">
        <f>IF(N9&lt;&gt;"",-Investment*UnosPodataka!$M$12,"")</f>
        <v>-4575</v>
      </c>
      <c r="O25" s="3">
        <f>IF(O9&lt;&gt;"",-Investment*UnosPodataka!$M$12,"")</f>
        <v>-4575</v>
      </c>
      <c r="P25" s="3">
        <f>IF(P9&lt;&gt;"",-Investment*UnosPodataka!$M$12,"")</f>
        <v>-4575</v>
      </c>
      <c r="Q25" s="3">
        <f>IF(Q9&lt;&gt;"",-Investment*UnosPodataka!$M$12,"")</f>
        <v>-4575</v>
      </c>
      <c r="R25" s="3">
        <f>IF(R9&lt;&gt;"",-Investment*UnosPodataka!$M$12,"")</f>
        <v>-4575</v>
      </c>
      <c r="S25" s="3">
        <f>IF(S9&lt;&gt;"",-Investment*UnosPodataka!$M$12,"")</f>
        <v>-4575</v>
      </c>
      <c r="T25" s="3">
        <f>IF(T9&lt;&gt;"",-Investment*UnosPodataka!$M$12,"")</f>
        <v>-4575</v>
      </c>
      <c r="U25" s="3">
        <f>IF(U9&lt;&gt;"",-Investment*UnosPodataka!$M$12,"")</f>
        <v>-4575</v>
      </c>
      <c r="V25" s="3">
        <f>IF(V9&lt;&gt;"",-Investment*UnosPodataka!$M$12,"")</f>
        <v>-4575</v>
      </c>
      <c r="W25" s="3">
        <f>IF(W9&lt;&gt;"",-Investment*UnosPodataka!$M$12,"")</f>
        <v>-4575</v>
      </c>
      <c r="X25" s="3">
        <f>IF(X9&lt;&gt;"",-Investment*UnosPodataka!$M$12,"")</f>
        <v>-4575</v>
      </c>
      <c r="Y25" s="3">
        <f>IF(Y9&lt;&gt;"",-Investment*UnosPodataka!$M$12,"")</f>
        <v>-4575</v>
      </c>
    </row>
    <row r="26" spans="1:25" x14ac:dyDescent="0.25">
      <c r="A26" s="65" t="s">
        <v>92</v>
      </c>
      <c r="B26" s="65"/>
      <c r="C26" s="65"/>
      <c r="D26" s="65"/>
      <c r="F26" s="3">
        <f>IF(F9&lt;&gt;"",-(1-UnosPodataka!$M$10)*FinaIndikatori!F16,"")</f>
        <v>0</v>
      </c>
      <c r="G26" s="3">
        <f>IF(G9&lt;&gt;"",-(1-UnosPodataka!$M$10)*FinaIndikatori!G16,"")</f>
        <v>0</v>
      </c>
      <c r="H26" s="3">
        <f>IF(H9&lt;&gt;"",-(1-UnosPodataka!$M$10)*FinaIndikatori!H16,"")</f>
        <v>0</v>
      </c>
      <c r="I26" s="3">
        <f>IF(I9&lt;&gt;"",-(1-UnosPodataka!$M$10)*FinaIndikatori!I16,"")</f>
        <v>0</v>
      </c>
      <c r="J26" s="3">
        <f>IF(J9&lt;&gt;"",-(1-UnosPodataka!$M$10)*FinaIndikatori!J16,"")</f>
        <v>0</v>
      </c>
      <c r="K26" s="3">
        <f>IF(K9&lt;&gt;"",-(1-UnosPodataka!$M$10)*FinaIndikatori!K16,"")</f>
        <v>0</v>
      </c>
      <c r="L26" s="3">
        <f>IF(L9&lt;&gt;"",-(1-UnosPodataka!$M$10)*FinaIndikatori!L16,"")</f>
        <v>0</v>
      </c>
      <c r="M26" s="3">
        <f>IF(M9&lt;&gt;"",-(1-UnosPodataka!$M$10)*FinaIndikatori!M16,"")</f>
        <v>0</v>
      </c>
      <c r="N26" s="3">
        <f>IF(N9&lt;&gt;"",-(1-UnosPodataka!$M$10)*FinaIndikatori!N16,"")</f>
        <v>0</v>
      </c>
      <c r="O26" s="3">
        <f>IF(O9&lt;&gt;"",-(1-UnosPodataka!$M$10)*FinaIndikatori!O16,"")</f>
        <v>0</v>
      </c>
      <c r="P26" s="3">
        <f>IF(P9&lt;&gt;"",-(1-UnosPodataka!$M$10)*FinaIndikatori!P16,"")</f>
        <v>0</v>
      </c>
      <c r="Q26" s="3">
        <f>IF(Q9&lt;&gt;"",-(1-UnosPodataka!$M$10)*FinaIndikatori!Q16,"")</f>
        <v>0</v>
      </c>
      <c r="R26" s="3">
        <f>IF(R9&lt;&gt;"",-(1-UnosPodataka!$M$10)*FinaIndikatori!R16,"")</f>
        <v>0</v>
      </c>
      <c r="S26" s="3">
        <f>IF(S9&lt;&gt;"",-(1-UnosPodataka!$M$10)*FinaIndikatori!S16,"")</f>
        <v>0</v>
      </c>
      <c r="T26" s="3">
        <f>IF(T9&lt;&gt;"",-(1-UnosPodataka!$M$10)*FinaIndikatori!T16,"")</f>
        <v>0</v>
      </c>
      <c r="U26" s="3">
        <f>IF(U9&lt;&gt;"",-(1-UnosPodataka!$M$10)*FinaIndikatori!U16,"")</f>
        <v>0</v>
      </c>
      <c r="V26" s="3">
        <f>IF(V9&lt;&gt;"",-(1-UnosPodataka!$M$10)*FinaIndikatori!V16,"")</f>
        <v>0</v>
      </c>
      <c r="W26" s="3">
        <f>IF(W9&lt;&gt;"",-(1-UnosPodataka!$M$10)*FinaIndikatori!W16,"")</f>
        <v>0</v>
      </c>
      <c r="X26" s="3">
        <f>IF(X9&lt;&gt;"",-(1-UnosPodataka!$M$10)*FinaIndikatori!X16,"")</f>
        <v>0</v>
      </c>
      <c r="Y26" s="3">
        <f>IF(Y9&lt;&gt;"",-(1-UnosPodataka!$M$10)*FinaIndikatori!Y16,"")</f>
        <v>0</v>
      </c>
    </row>
    <row r="27" spans="1:25" x14ac:dyDescent="0.25">
      <c r="A27" s="70" t="s">
        <v>93</v>
      </c>
      <c r="B27" s="70"/>
      <c r="C27" s="70"/>
      <c r="D27" s="70"/>
      <c r="E27" s="31"/>
      <c r="F27" s="32">
        <f t="shared" ref="F27:Y27" si="2">IF(F9&lt;&gt;"",SUM(F20:F26),"")</f>
        <v>-29488.622349018631</v>
      </c>
      <c r="G27" s="32">
        <f t="shared" si="2"/>
        <v>-29488.622349018631</v>
      </c>
      <c r="H27" s="32">
        <f t="shared" si="2"/>
        <v>-29488.622349018631</v>
      </c>
      <c r="I27" s="32">
        <f t="shared" si="2"/>
        <v>-29488.622349018631</v>
      </c>
      <c r="J27" s="32">
        <f t="shared" si="2"/>
        <v>-29488.622349018631</v>
      </c>
      <c r="K27" s="32">
        <f t="shared" si="2"/>
        <v>-6047.5</v>
      </c>
      <c r="L27" s="32">
        <f t="shared" si="2"/>
        <v>-6047.5</v>
      </c>
      <c r="M27" s="32">
        <f t="shared" si="2"/>
        <v>-6047.5</v>
      </c>
      <c r="N27" s="32">
        <f t="shared" si="2"/>
        <v>-6047.5</v>
      </c>
      <c r="O27" s="32">
        <f t="shared" si="2"/>
        <v>-6047.5</v>
      </c>
      <c r="P27" s="32">
        <f t="shared" si="2"/>
        <v>-6047.5</v>
      </c>
      <c r="Q27" s="32">
        <f t="shared" si="2"/>
        <v>-6047.5</v>
      </c>
      <c r="R27" s="32">
        <f t="shared" si="2"/>
        <v>-6047.5</v>
      </c>
      <c r="S27" s="32">
        <f t="shared" si="2"/>
        <v>-6047.5</v>
      </c>
      <c r="T27" s="32">
        <f t="shared" si="2"/>
        <v>-6047.5</v>
      </c>
      <c r="U27" s="32">
        <f t="shared" si="2"/>
        <v>-6047.5</v>
      </c>
      <c r="V27" s="32">
        <f t="shared" si="2"/>
        <v>-6047.5</v>
      </c>
      <c r="W27" s="32">
        <f t="shared" si="2"/>
        <v>-6047.5</v>
      </c>
      <c r="X27" s="32">
        <f t="shared" si="2"/>
        <v>-6047.5</v>
      </c>
      <c r="Y27" s="3">
        <f t="shared" si="2"/>
        <v>-6047.5</v>
      </c>
    </row>
    <row r="29" spans="1:25" x14ac:dyDescent="0.25">
      <c r="A29" t="s">
        <v>166</v>
      </c>
      <c r="E29" s="3">
        <f>-SUM(E11:E13)</f>
        <v>-91500</v>
      </c>
      <c r="F29" s="3">
        <f>+F27-F25-F32</f>
        <v>-26659.837434960926</v>
      </c>
      <c r="G29" s="3">
        <f t="shared" ref="G29:Y29" si="3">+G27-G25-G32</f>
        <v>-26899.257637243263</v>
      </c>
      <c r="H29" s="3">
        <f t="shared" si="3"/>
        <v>-27167.40826379948</v>
      </c>
      <c r="I29" s="3">
        <f t="shared" si="3"/>
        <v>-27467.736965542441</v>
      </c>
      <c r="J29" s="3">
        <f t="shared" si="3"/>
        <v>-27804.105111494559</v>
      </c>
      <c r="K29" s="3">
        <f t="shared" si="3"/>
        <v>-4739.7150859422964</v>
      </c>
      <c r="L29" s="3">
        <f t="shared" si="3"/>
        <v>-4739.7150859422964</v>
      </c>
      <c r="M29" s="3">
        <f t="shared" si="3"/>
        <v>-4739.7150859422964</v>
      </c>
      <c r="N29" s="3">
        <f t="shared" si="3"/>
        <v>-4739.7150859422964</v>
      </c>
      <c r="O29" s="3">
        <f t="shared" si="3"/>
        <v>-4739.7150859422964</v>
      </c>
      <c r="P29" s="3">
        <f t="shared" si="3"/>
        <v>-4739.7150859422964</v>
      </c>
      <c r="Q29" s="3">
        <f t="shared" si="3"/>
        <v>-4739.7150859422964</v>
      </c>
      <c r="R29" s="3">
        <f t="shared" si="3"/>
        <v>-4739.7150859422964</v>
      </c>
      <c r="S29" s="3">
        <f t="shared" si="3"/>
        <v>-4739.7150859422964</v>
      </c>
      <c r="T29" s="3">
        <f t="shared" si="3"/>
        <v>-4739.7150859422964</v>
      </c>
      <c r="U29" s="3">
        <f t="shared" si="3"/>
        <v>-4739.7150859422964</v>
      </c>
      <c r="V29" s="3">
        <f t="shared" si="3"/>
        <v>-4739.7150859422964</v>
      </c>
      <c r="W29" s="3">
        <f t="shared" si="3"/>
        <v>-4739.7150859422964</v>
      </c>
      <c r="X29" s="3">
        <f t="shared" si="3"/>
        <v>-4739.7150859422964</v>
      </c>
      <c r="Y29" s="3">
        <f t="shared" si="3"/>
        <v>-4739.7150859422964</v>
      </c>
    </row>
    <row r="30" spans="1:25" x14ac:dyDescent="0.25">
      <c r="A30" s="58" t="s">
        <v>167</v>
      </c>
      <c r="B30" s="58"/>
      <c r="C30" s="58"/>
      <c r="D30" s="58"/>
      <c r="F30" s="3">
        <f>IF(F9&lt;&gt;"",F17+F27-F21,"")</f>
        <v>11641.433906281974</v>
      </c>
      <c r="G30" s="3">
        <f t="shared" ref="G30:Y30" si="4">IF(G9&lt;&gt;"",G17+G27-G21,"")</f>
        <v>13237.568588164211</v>
      </c>
      <c r="H30" s="3">
        <f t="shared" si="4"/>
        <v>15025.239431872316</v>
      </c>
      <c r="I30" s="3">
        <f t="shared" si="4"/>
        <v>17027.430776825389</v>
      </c>
      <c r="J30" s="3">
        <f t="shared" si="4"/>
        <v>19269.885083172838</v>
      </c>
      <c r="K30" s="3">
        <f t="shared" si="4"/>
        <v>21781.433906281974</v>
      </c>
      <c r="L30" s="3">
        <f t="shared" si="4"/>
        <v>21781.433906281974</v>
      </c>
      <c r="M30" s="3">
        <f t="shared" si="4"/>
        <v>21781.433906281974</v>
      </c>
      <c r="N30" s="3">
        <f t="shared" si="4"/>
        <v>21781.433906281974</v>
      </c>
      <c r="O30" s="3">
        <f t="shared" si="4"/>
        <v>21781.433906281974</v>
      </c>
      <c r="P30" s="3">
        <f t="shared" si="4"/>
        <v>21781.433906281974</v>
      </c>
      <c r="Q30" s="3">
        <f t="shared" si="4"/>
        <v>21781.433906281974</v>
      </c>
      <c r="R30" s="3">
        <f t="shared" si="4"/>
        <v>21781.433906281974</v>
      </c>
      <c r="S30" s="3">
        <f t="shared" si="4"/>
        <v>21781.433906281974</v>
      </c>
      <c r="T30" s="3">
        <f t="shared" si="4"/>
        <v>21781.433906281974</v>
      </c>
      <c r="U30" s="3">
        <f t="shared" si="4"/>
        <v>21781.433906281974</v>
      </c>
      <c r="V30" s="3">
        <f t="shared" si="4"/>
        <v>21781.433906281974</v>
      </c>
      <c r="W30" s="3">
        <f t="shared" si="4"/>
        <v>21781.433906281974</v>
      </c>
      <c r="X30" s="3">
        <f t="shared" si="4"/>
        <v>21781.433906281974</v>
      </c>
      <c r="Y30" s="3">
        <f t="shared" si="4"/>
        <v>21781.433906281974</v>
      </c>
    </row>
    <row r="31" spans="1:25" x14ac:dyDescent="0.25">
      <c r="A31" s="71"/>
      <c r="B31" s="71"/>
      <c r="C31" s="71"/>
      <c r="D31" s="71"/>
    </row>
    <row r="32" spans="1:25" x14ac:dyDescent="0.25">
      <c r="A32" s="65" t="s">
        <v>94</v>
      </c>
      <c r="B32" s="65"/>
      <c r="C32" s="65"/>
      <c r="D32" s="65"/>
      <c r="F32" s="3">
        <f>IF(F9&lt;&gt;"",IF(F30&gt;0,F30*VAT,0),"")</f>
        <v>1746.2150859422961</v>
      </c>
      <c r="G32" s="3">
        <f t="shared" ref="G32:Y32" si="5">IF(G9&lt;&gt;"",IF(G30&gt;0,G30*VAT,0),"")</f>
        <v>1985.6352882246315</v>
      </c>
      <c r="H32" s="3">
        <f t="shared" si="5"/>
        <v>2253.7859147808472</v>
      </c>
      <c r="I32" s="3">
        <f t="shared" si="5"/>
        <v>2554.1146165238083</v>
      </c>
      <c r="J32" s="3">
        <f t="shared" si="5"/>
        <v>2890.4827624759255</v>
      </c>
      <c r="K32" s="3">
        <f t="shared" si="5"/>
        <v>3267.2150859422959</v>
      </c>
      <c r="L32" s="3">
        <f t="shared" si="5"/>
        <v>3267.2150859422959</v>
      </c>
      <c r="M32" s="3">
        <f t="shared" si="5"/>
        <v>3267.2150859422959</v>
      </c>
      <c r="N32" s="3">
        <f t="shared" si="5"/>
        <v>3267.2150859422959</v>
      </c>
      <c r="O32" s="3">
        <f t="shared" si="5"/>
        <v>3267.2150859422959</v>
      </c>
      <c r="P32" s="3">
        <f t="shared" si="5"/>
        <v>3267.2150859422959</v>
      </c>
      <c r="Q32" s="3">
        <f t="shared" si="5"/>
        <v>3267.2150859422959</v>
      </c>
      <c r="R32" s="3">
        <f t="shared" si="5"/>
        <v>3267.2150859422959</v>
      </c>
      <c r="S32" s="3">
        <f t="shared" si="5"/>
        <v>3267.2150859422959</v>
      </c>
      <c r="T32" s="3">
        <f t="shared" si="5"/>
        <v>3267.2150859422959</v>
      </c>
      <c r="U32" s="3">
        <f t="shared" si="5"/>
        <v>3267.2150859422959</v>
      </c>
      <c r="V32" s="3">
        <f t="shared" si="5"/>
        <v>3267.2150859422959</v>
      </c>
      <c r="W32" s="3">
        <f t="shared" si="5"/>
        <v>3267.2150859422959</v>
      </c>
      <c r="X32" s="3">
        <f t="shared" si="5"/>
        <v>3267.2150859422959</v>
      </c>
      <c r="Y32" s="3">
        <f t="shared" si="5"/>
        <v>3267.2150859422959</v>
      </c>
    </row>
    <row r="33" spans="1:25" x14ac:dyDescent="0.25">
      <c r="A33" s="58" t="s">
        <v>95</v>
      </c>
      <c r="B33" s="58"/>
      <c r="C33" s="58"/>
      <c r="D33" s="58"/>
      <c r="E33" s="3"/>
      <c r="F33" s="3">
        <f>IF(F9&lt;&gt;"",F30-F32,"")</f>
        <v>9895.2188203396781</v>
      </c>
      <c r="G33" s="3">
        <f t="shared" ref="G33:Y33" si="6">IF(G9&lt;&gt;"",G30-G32,"")</f>
        <v>11251.933299939579</v>
      </c>
      <c r="H33" s="3">
        <f t="shared" si="6"/>
        <v>12771.45351709147</v>
      </c>
      <c r="I33" s="3">
        <f t="shared" si="6"/>
        <v>14473.316160301581</v>
      </c>
      <c r="J33" s="3">
        <f t="shared" si="6"/>
        <v>16379.402320696912</v>
      </c>
      <c r="K33" s="3">
        <f t="shared" si="6"/>
        <v>18514.21882033968</v>
      </c>
      <c r="L33" s="3">
        <f t="shared" si="6"/>
        <v>18514.21882033968</v>
      </c>
      <c r="M33" s="3">
        <f t="shared" si="6"/>
        <v>18514.21882033968</v>
      </c>
      <c r="N33" s="3">
        <f t="shared" si="6"/>
        <v>18514.21882033968</v>
      </c>
      <c r="O33" s="3">
        <f t="shared" si="6"/>
        <v>18514.21882033968</v>
      </c>
      <c r="P33" s="3">
        <f t="shared" si="6"/>
        <v>18514.21882033968</v>
      </c>
      <c r="Q33" s="3">
        <f t="shared" si="6"/>
        <v>18514.21882033968</v>
      </c>
      <c r="R33" s="3">
        <f t="shared" si="6"/>
        <v>18514.21882033968</v>
      </c>
      <c r="S33" s="3">
        <f t="shared" si="6"/>
        <v>18514.21882033968</v>
      </c>
      <c r="T33" s="3">
        <f t="shared" si="6"/>
        <v>18514.21882033968</v>
      </c>
      <c r="U33" s="3">
        <f t="shared" si="6"/>
        <v>18514.21882033968</v>
      </c>
      <c r="V33" s="3">
        <f t="shared" si="6"/>
        <v>18514.21882033968</v>
      </c>
      <c r="W33" s="3">
        <f t="shared" si="6"/>
        <v>18514.21882033968</v>
      </c>
      <c r="X33" s="3">
        <f t="shared" si="6"/>
        <v>18514.21882033968</v>
      </c>
      <c r="Y33" s="3">
        <f t="shared" si="6"/>
        <v>18514.21882033968</v>
      </c>
    </row>
    <row r="35" spans="1:25" x14ac:dyDescent="0.25">
      <c r="A35" s="34" t="s">
        <v>176</v>
      </c>
      <c r="E35" s="3">
        <f>-SUM(E10:E12)</f>
        <v>-91500</v>
      </c>
      <c r="F35" s="3">
        <f>+F17+F29-F32</f>
        <v>-577.11861462124739</v>
      </c>
      <c r="G35" s="3">
        <f t="shared" ref="G35:Y35" si="7">+G17+G29-G32</f>
        <v>-1055.9590191859202</v>
      </c>
      <c r="H35" s="3">
        <f t="shared" si="7"/>
        <v>-1592.2602722983524</v>
      </c>
      <c r="I35" s="3">
        <f t="shared" si="7"/>
        <v>-2192.9176757842747</v>
      </c>
      <c r="J35" s="3">
        <f t="shared" si="7"/>
        <v>-2865.6539676885095</v>
      </c>
      <c r="K35" s="3">
        <f t="shared" si="7"/>
        <v>19822.003734397385</v>
      </c>
      <c r="L35" s="3">
        <f t="shared" si="7"/>
        <v>19822.003734397385</v>
      </c>
      <c r="M35" s="3">
        <f t="shared" si="7"/>
        <v>19822.003734397385</v>
      </c>
      <c r="N35" s="3">
        <f t="shared" si="7"/>
        <v>19822.003734397385</v>
      </c>
      <c r="O35" s="3">
        <f t="shared" si="7"/>
        <v>19822.003734397385</v>
      </c>
      <c r="P35" s="3">
        <f t="shared" si="7"/>
        <v>19822.003734397385</v>
      </c>
      <c r="Q35" s="3">
        <f t="shared" si="7"/>
        <v>19822.003734397385</v>
      </c>
      <c r="R35" s="3">
        <f t="shared" si="7"/>
        <v>19822.003734397385</v>
      </c>
      <c r="S35" s="3">
        <f t="shared" si="7"/>
        <v>19822.003734397385</v>
      </c>
      <c r="T35" s="3">
        <f t="shared" si="7"/>
        <v>19822.003734397385</v>
      </c>
      <c r="U35" s="3">
        <f t="shared" si="7"/>
        <v>19822.003734397385</v>
      </c>
      <c r="V35" s="3">
        <f t="shared" si="7"/>
        <v>19822.003734397385</v>
      </c>
      <c r="W35" s="3">
        <f t="shared" si="7"/>
        <v>19822.003734397385</v>
      </c>
      <c r="X35" s="3">
        <f t="shared" si="7"/>
        <v>19822.003734397385</v>
      </c>
      <c r="Y35" s="3">
        <f t="shared" si="7"/>
        <v>19822.003734397385</v>
      </c>
    </row>
    <row r="36" spans="1:25" x14ac:dyDescent="0.25">
      <c r="A36" s="34" t="s">
        <v>177</v>
      </c>
      <c r="E36" s="3">
        <f>+E35</f>
        <v>-91500</v>
      </c>
      <c r="F36" s="3">
        <f>+E36+F35</f>
        <v>-92077.118614621242</v>
      </c>
      <c r="G36" s="3">
        <f t="shared" ref="G36:Y36" si="8">+F36+G35</f>
        <v>-93133.077633807159</v>
      </c>
      <c r="H36" s="3">
        <f t="shared" si="8"/>
        <v>-94725.337906105517</v>
      </c>
      <c r="I36" s="3">
        <f t="shared" si="8"/>
        <v>-96918.255581889796</v>
      </c>
      <c r="J36" s="3">
        <f t="shared" si="8"/>
        <v>-99783.909549578311</v>
      </c>
      <c r="K36" s="3">
        <f t="shared" si="8"/>
        <v>-79961.905815180929</v>
      </c>
      <c r="L36" s="3">
        <f t="shared" si="8"/>
        <v>-60139.902080783548</v>
      </c>
      <c r="M36" s="3">
        <f t="shared" si="8"/>
        <v>-40317.898346386166</v>
      </c>
      <c r="N36" s="3">
        <f t="shared" si="8"/>
        <v>-20495.894611988781</v>
      </c>
      <c r="O36" s="3">
        <f t="shared" si="8"/>
        <v>-673.89087759139511</v>
      </c>
      <c r="P36" s="3">
        <f t="shared" si="8"/>
        <v>19148.11285680599</v>
      </c>
      <c r="Q36" s="3">
        <f t="shared" si="8"/>
        <v>38970.116591203376</v>
      </c>
      <c r="R36" s="3">
        <f t="shared" si="8"/>
        <v>58792.120325600757</v>
      </c>
      <c r="S36" s="3">
        <f t="shared" si="8"/>
        <v>78614.124059998139</v>
      </c>
      <c r="T36" s="3">
        <f t="shared" si="8"/>
        <v>98436.127794395521</v>
      </c>
      <c r="U36" s="3">
        <f t="shared" si="8"/>
        <v>118258.1315287929</v>
      </c>
      <c r="V36" s="3">
        <f t="shared" si="8"/>
        <v>138080.13526319028</v>
      </c>
      <c r="W36" s="3">
        <f t="shared" si="8"/>
        <v>157902.13899758767</v>
      </c>
      <c r="X36" s="3">
        <f t="shared" si="8"/>
        <v>177724.14273198505</v>
      </c>
      <c r="Y36" s="3">
        <f t="shared" si="8"/>
        <v>197546.14646638243</v>
      </c>
    </row>
    <row r="37" spans="1:25" x14ac:dyDescent="0.25">
      <c r="A37" s="18"/>
    </row>
    <row r="38" spans="1:25" x14ac:dyDescent="0.25">
      <c r="A38" s="34" t="s">
        <v>61</v>
      </c>
      <c r="E38" s="7">
        <f>+PomTab1!L25</f>
        <v>0.11527978142076503</v>
      </c>
    </row>
    <row r="39" spans="1:25" x14ac:dyDescent="0.25">
      <c r="A39" s="34" t="s">
        <v>178</v>
      </c>
      <c r="E39" s="3">
        <f>IF(E9&lt;&gt;"",E35*(1+$E$38)^-E9,"")</f>
        <v>-91500</v>
      </c>
      <c r="F39" s="3">
        <f>IF(F9&lt;&gt;"",F35*(1+$E$38)^-F9,"")</f>
        <v>-517.46532505596997</v>
      </c>
      <c r="G39" s="3">
        <f t="shared" ref="G39:Y39" si="9">IF(G9&lt;&gt;"",G35*(1+$E$38)^-G9,"")</f>
        <v>-848.94470868827557</v>
      </c>
      <c r="H39" s="3">
        <f t="shared" si="9"/>
        <v>-1147.7903580176487</v>
      </c>
      <c r="I39" s="3">
        <f t="shared" si="9"/>
        <v>-1417.3823221390244</v>
      </c>
      <c r="J39" s="3">
        <f t="shared" si="9"/>
        <v>-1660.7513039312291</v>
      </c>
      <c r="K39" s="3">
        <f t="shared" si="9"/>
        <v>10300.174424615279</v>
      </c>
      <c r="L39" s="3">
        <f t="shared" si="9"/>
        <v>9235.507176050296</v>
      </c>
      <c r="M39" s="3">
        <f t="shared" si="9"/>
        <v>8280.8881949649422</v>
      </c>
      <c r="N39" s="3">
        <f t="shared" si="9"/>
        <v>7424.9424520328375</v>
      </c>
      <c r="O39" s="3">
        <f t="shared" si="9"/>
        <v>6657.4706864802438</v>
      </c>
      <c r="P39" s="3">
        <f t="shared" si="9"/>
        <v>5969.3278739431917</v>
      </c>
      <c r="Q39" s="3">
        <f t="shared" si="9"/>
        <v>5352.3142563732399</v>
      </c>
      <c r="R39" s="3">
        <f t="shared" si="9"/>
        <v>4799.0776355282596</v>
      </c>
      <c r="S39" s="3">
        <f t="shared" si="9"/>
        <v>4303.0257657990278</v>
      </c>
      <c r="T39" s="3">
        <f t="shared" si="9"/>
        <v>3858.2478024638481</v>
      </c>
      <c r="U39" s="3">
        <f t="shared" si="9"/>
        <v>3459.4438693659367</v>
      </c>
      <c r="V39" s="3">
        <f t="shared" si="9"/>
        <v>3101.861906757531</v>
      </c>
      <c r="W39" s="3">
        <f t="shared" si="9"/>
        <v>2781.2410468035569</v>
      </c>
      <c r="X39" s="3">
        <f t="shared" si="9"/>
        <v>2493.7608420198458</v>
      </c>
      <c r="Y39" s="3">
        <f t="shared" si="9"/>
        <v>2235.995741663156</v>
      </c>
    </row>
    <row r="40" spans="1:25" x14ac:dyDescent="0.25">
      <c r="A40" s="34" t="s">
        <v>179</v>
      </c>
      <c r="E40" s="3">
        <f>+E39</f>
        <v>-91500</v>
      </c>
      <c r="F40" s="3">
        <f>+E40+F39</f>
        <v>-92017.465325055964</v>
      </c>
      <c r="G40" s="3">
        <f t="shared" ref="G40:Y40" si="10">+F40+G39</f>
        <v>-92866.410033744236</v>
      </c>
      <c r="H40" s="3">
        <f t="shared" si="10"/>
        <v>-94014.200391761886</v>
      </c>
      <c r="I40" s="3">
        <f t="shared" si="10"/>
        <v>-95431.582713900905</v>
      </c>
      <c r="J40" s="3">
        <f t="shared" si="10"/>
        <v>-97092.334017832138</v>
      </c>
      <c r="K40" s="3">
        <f t="shared" si="10"/>
        <v>-86792.159593216857</v>
      </c>
      <c r="L40" s="3">
        <f t="shared" si="10"/>
        <v>-77556.652417166566</v>
      </c>
      <c r="M40" s="3">
        <f t="shared" si="10"/>
        <v>-69275.764222201629</v>
      </c>
      <c r="N40" s="3">
        <f t="shared" si="10"/>
        <v>-61850.82177016879</v>
      </c>
      <c r="O40" s="3">
        <f t="shared" si="10"/>
        <v>-55193.351083688547</v>
      </c>
      <c r="P40" s="3">
        <f t="shared" si="10"/>
        <v>-49224.023209745355</v>
      </c>
      <c r="Q40" s="3">
        <f t="shared" si="10"/>
        <v>-43871.708953372116</v>
      </c>
      <c r="R40" s="3">
        <f t="shared" si="10"/>
        <v>-39072.631317843858</v>
      </c>
      <c r="S40" s="3">
        <f t="shared" si="10"/>
        <v>-34769.605552044828</v>
      </c>
      <c r="T40" s="3">
        <f t="shared" si="10"/>
        <v>-30911.35774958098</v>
      </c>
      <c r="U40" s="3">
        <f t="shared" si="10"/>
        <v>-27451.913880215045</v>
      </c>
      <c r="V40" s="3">
        <f t="shared" si="10"/>
        <v>-24350.051973457514</v>
      </c>
      <c r="W40" s="3">
        <f t="shared" si="10"/>
        <v>-21568.810926653958</v>
      </c>
      <c r="X40" s="3">
        <f t="shared" si="10"/>
        <v>-19075.050084634113</v>
      </c>
      <c r="Y40" s="3">
        <f t="shared" si="10"/>
        <v>-16839.054342970958</v>
      </c>
    </row>
    <row r="41" spans="1:25" x14ac:dyDescent="0.25">
      <c r="A41" s="34"/>
    </row>
    <row r="42" spans="1:25" x14ac:dyDescent="0.25">
      <c r="A42" s="35" t="s">
        <v>180</v>
      </c>
      <c r="B42" s="37"/>
      <c r="C42" s="37"/>
      <c r="D42" s="37"/>
      <c r="E42" s="36">
        <f>+NPV(E38,E35:Y35)</f>
        <v>-15098.50229824802</v>
      </c>
      <c r="F42" s="37"/>
    </row>
    <row r="43" spans="1:25" x14ac:dyDescent="0.25">
      <c r="A43" s="35" t="s">
        <v>181</v>
      </c>
      <c r="B43" s="37"/>
      <c r="C43" s="37"/>
      <c r="D43" s="37"/>
      <c r="E43" s="38">
        <f>+IRR(E35:Y35,10)</f>
        <v>9.6106741451494004E-2</v>
      </c>
      <c r="F43" s="37"/>
    </row>
    <row r="44" spans="1:25" x14ac:dyDescent="0.25">
      <c r="A44" s="35" t="s">
        <v>182</v>
      </c>
      <c r="B44" s="37"/>
      <c r="C44" s="37"/>
      <c r="D44" s="37"/>
      <c r="E44" s="36" cm="1">
        <f t="array" ref="E44">+NPV(E38,E17:Y17/-NPV(E38,E29:Y29))</f>
        <v>1.0214699979403516</v>
      </c>
      <c r="F44" s="37"/>
    </row>
    <row r="45" spans="1:25" x14ac:dyDescent="0.25">
      <c r="A45" s="35" t="s">
        <v>183</v>
      </c>
      <c r="B45" s="37"/>
      <c r="C45" s="37"/>
      <c r="D45" s="37"/>
      <c r="E45" s="37" cm="1">
        <f t="array" ref="E45">+LOOKUP(INDEX(E36:Y36,MATCH(TRUE,E36:Y36&gt;0,0)),E36:Y36,E9:Y9)</f>
        <v>11</v>
      </c>
      <c r="F45" s="37" t="s">
        <v>185</v>
      </c>
    </row>
    <row r="46" spans="1:25" x14ac:dyDescent="0.25">
      <c r="A46" s="35" t="s">
        <v>184</v>
      </c>
      <c r="B46" s="37"/>
      <c r="C46" s="37"/>
      <c r="D46" s="37"/>
      <c r="E46" s="37" t="e" cm="1">
        <f t="array" ref="E46">+LOOKUP(INDEX(E40:Y40,MATCH(TRUE,E40:Y40&gt;0,0)),E40:Y40,E9:Y9)</f>
        <v>#N/A</v>
      </c>
      <c r="F46" s="37" t="s">
        <v>185</v>
      </c>
    </row>
    <row r="49" spans="1:26" x14ac:dyDescent="0.25">
      <c r="A49" s="22" t="s">
        <v>168</v>
      </c>
      <c r="B49" s="22"/>
      <c r="C49" s="22"/>
      <c r="D49" s="22"/>
      <c r="E49" s="3">
        <f>IF(E9&lt;&gt;"",E29,"")</f>
        <v>-91500</v>
      </c>
      <c r="F49" s="3">
        <f>IF(F9&lt;&gt;"",F29,"")</f>
        <v>-26659.837434960926</v>
      </c>
      <c r="G49" s="3">
        <f t="shared" ref="G49:Y49" si="11">IF(G9&lt;&gt;"",G29,"")</f>
        <v>-26899.257637243263</v>
      </c>
      <c r="H49" s="3">
        <f t="shared" si="11"/>
        <v>-27167.40826379948</v>
      </c>
      <c r="I49" s="3">
        <f t="shared" si="11"/>
        <v>-27467.736965542441</v>
      </c>
      <c r="J49" s="3">
        <f t="shared" si="11"/>
        <v>-27804.105111494559</v>
      </c>
      <c r="K49" s="3">
        <f t="shared" si="11"/>
        <v>-4739.7150859422964</v>
      </c>
      <c r="L49" s="3">
        <f t="shared" si="11"/>
        <v>-4739.7150859422964</v>
      </c>
      <c r="M49" s="3">
        <f t="shared" si="11"/>
        <v>-4739.7150859422964</v>
      </c>
      <c r="N49" s="3">
        <f t="shared" si="11"/>
        <v>-4739.7150859422964</v>
      </c>
      <c r="O49" s="3">
        <f t="shared" si="11"/>
        <v>-4739.7150859422964</v>
      </c>
      <c r="P49" s="3">
        <f t="shared" si="11"/>
        <v>-4739.7150859422964</v>
      </c>
      <c r="Q49" s="3">
        <f t="shared" si="11"/>
        <v>-4739.7150859422964</v>
      </c>
      <c r="R49" s="3">
        <f t="shared" si="11"/>
        <v>-4739.7150859422964</v>
      </c>
      <c r="S49" s="3">
        <f t="shared" si="11"/>
        <v>-4739.7150859422964</v>
      </c>
      <c r="T49" s="3">
        <f t="shared" si="11"/>
        <v>-4739.7150859422964</v>
      </c>
      <c r="U49" s="3">
        <f t="shared" si="11"/>
        <v>-4739.7150859422964</v>
      </c>
      <c r="V49" s="3">
        <f t="shared" si="11"/>
        <v>-4739.7150859422964</v>
      </c>
      <c r="W49" s="3">
        <f t="shared" si="11"/>
        <v>-4739.7150859422964</v>
      </c>
      <c r="X49" s="3">
        <f t="shared" si="11"/>
        <v>-4739.7150859422964</v>
      </c>
      <c r="Y49" s="3">
        <f t="shared" si="11"/>
        <v>-4739.7150859422964</v>
      </c>
      <c r="Z49" s="3"/>
    </row>
    <row r="50" spans="1:26" x14ac:dyDescent="0.25">
      <c r="A50" s="22" t="s">
        <v>169</v>
      </c>
      <c r="B50" s="22"/>
      <c r="C50" s="22"/>
      <c r="D50" s="22"/>
      <c r="E50" s="3">
        <f>IF(E9&lt;&gt;"",E49*(1+$E$38)^-E9,"")</f>
        <v>-91500</v>
      </c>
      <c r="F50" s="3">
        <f>IF(F9&lt;&gt;"",F49*(1+$E$38)^-F9,"")</f>
        <v>-23904.169948278552</v>
      </c>
      <c r="G50" s="3">
        <f t="shared" ref="G50:Y50" si="12">IF(G9&lt;&gt;"",G49*(1+$E$38)^-G9,"")</f>
        <v>-21625.822616094985</v>
      </c>
      <c r="H50" s="3">
        <f t="shared" si="12"/>
        <v>-19583.789032497549</v>
      </c>
      <c r="I50" s="3">
        <f t="shared" si="12"/>
        <v>-17753.646310594275</v>
      </c>
      <c r="J50" s="3">
        <f t="shared" si="12"/>
        <v>-16113.496025412214</v>
      </c>
      <c r="K50" s="3">
        <f t="shared" si="12"/>
        <v>-2462.9140808539073</v>
      </c>
      <c r="L50" s="3">
        <f t="shared" si="12"/>
        <v>-2208.3374251762898</v>
      </c>
      <c r="M50" s="3">
        <f t="shared" si="12"/>
        <v>-1980.0748314141124</v>
      </c>
      <c r="N50" s="3">
        <f t="shared" si="12"/>
        <v>-1775.4063728221424</v>
      </c>
      <c r="O50" s="3">
        <f t="shared" si="12"/>
        <v>-1591.8932651683474</v>
      </c>
      <c r="P50" s="3">
        <f t="shared" si="12"/>
        <v>-1427.3488067186333</v>
      </c>
      <c r="Q50" s="3">
        <f t="shared" si="12"/>
        <v>-1279.8123219810552</v>
      </c>
      <c r="R50" s="3">
        <f t="shared" si="12"/>
        <v>-1147.525798728899</v>
      </c>
      <c r="S50" s="3">
        <f t="shared" si="12"/>
        <v>-1028.9129399145527</v>
      </c>
      <c r="T50" s="3">
        <f t="shared" si="12"/>
        <v>-922.56038086139336</v>
      </c>
      <c r="U50" s="3">
        <f t="shared" si="12"/>
        <v>-827.20084792188663</v>
      </c>
      <c r="V50" s="3">
        <f t="shared" si="12"/>
        <v>-741.69805792418106</v>
      </c>
      <c r="W50" s="3">
        <f t="shared" si="12"/>
        <v>-665.0331784723337</v>
      </c>
      <c r="X50" s="3">
        <f t="shared" si="12"/>
        <v>-596.29268776408901</v>
      </c>
      <c r="Y50" s="3">
        <f t="shared" si="12"/>
        <v>-534.65748926647484</v>
      </c>
      <c r="Z50" s="3"/>
    </row>
    <row r="51" spans="1:26" x14ac:dyDescent="0.25">
      <c r="A51" s="22" t="s">
        <v>170</v>
      </c>
      <c r="B51" s="22"/>
      <c r="C51" s="22"/>
      <c r="D51" s="22"/>
      <c r="E51" s="3">
        <f>+E50</f>
        <v>-91500</v>
      </c>
      <c r="F51" s="3">
        <f>+E51+F50</f>
        <v>-115404.16994827855</v>
      </c>
      <c r="G51" s="3">
        <f t="shared" ref="G51:Y51" si="13">+F51+G50</f>
        <v>-137029.99256437353</v>
      </c>
      <c r="H51" s="3">
        <f t="shared" si="13"/>
        <v>-156613.78159687109</v>
      </c>
      <c r="I51" s="3">
        <f t="shared" si="13"/>
        <v>-174367.42790746538</v>
      </c>
      <c r="J51" s="3">
        <f t="shared" si="13"/>
        <v>-190480.9239328776</v>
      </c>
      <c r="K51" s="3">
        <f t="shared" si="13"/>
        <v>-192943.8380137315</v>
      </c>
      <c r="L51" s="3">
        <f t="shared" si="13"/>
        <v>-195152.17543890778</v>
      </c>
      <c r="M51" s="3">
        <f t="shared" si="13"/>
        <v>-197132.25027032191</v>
      </c>
      <c r="N51" s="3">
        <f t="shared" si="13"/>
        <v>-198907.65664314406</v>
      </c>
      <c r="O51" s="3">
        <f t="shared" si="13"/>
        <v>-200499.54990831242</v>
      </c>
      <c r="P51" s="3">
        <f t="shared" si="13"/>
        <v>-201926.89871503104</v>
      </c>
      <c r="Q51" s="3">
        <f t="shared" si="13"/>
        <v>-203206.71103701211</v>
      </c>
      <c r="R51" s="3">
        <f t="shared" si="13"/>
        <v>-204354.236835741</v>
      </c>
      <c r="S51" s="3">
        <f t="shared" si="13"/>
        <v>-205383.14977565556</v>
      </c>
      <c r="T51" s="3">
        <f t="shared" si="13"/>
        <v>-206305.71015651696</v>
      </c>
      <c r="U51" s="3">
        <f t="shared" si="13"/>
        <v>-207132.91100443885</v>
      </c>
      <c r="V51" s="3">
        <f t="shared" si="13"/>
        <v>-207874.60906236304</v>
      </c>
      <c r="W51" s="3">
        <f t="shared" si="13"/>
        <v>-208539.64224083538</v>
      </c>
      <c r="X51" s="3">
        <f t="shared" si="13"/>
        <v>-209135.93492859948</v>
      </c>
      <c r="Y51" s="3">
        <f t="shared" si="13"/>
        <v>-209670.59241786596</v>
      </c>
    </row>
    <row r="52" spans="1:26" x14ac:dyDescent="0.25">
      <c r="A52" s="22" t="s">
        <v>171</v>
      </c>
      <c r="B52" s="22"/>
      <c r="C52" s="22"/>
      <c r="D52" s="22"/>
      <c r="F52" s="3">
        <f t="shared" ref="F52:Y52" si="14">IF(F9&lt;&gt;"",F17,"")</f>
        <v>27828.933906281974</v>
      </c>
      <c r="G52" s="3">
        <f t="shared" si="14"/>
        <v>27828.933906281974</v>
      </c>
      <c r="H52" s="3">
        <f t="shared" si="14"/>
        <v>27828.933906281974</v>
      </c>
      <c r="I52" s="3">
        <f t="shared" si="14"/>
        <v>27828.933906281974</v>
      </c>
      <c r="J52" s="3">
        <f t="shared" si="14"/>
        <v>27828.933906281974</v>
      </c>
      <c r="K52" s="3">
        <f t="shared" si="14"/>
        <v>27828.933906281974</v>
      </c>
      <c r="L52" s="3">
        <f t="shared" si="14"/>
        <v>27828.933906281974</v>
      </c>
      <c r="M52" s="3">
        <f t="shared" si="14"/>
        <v>27828.933906281974</v>
      </c>
      <c r="N52" s="3">
        <f t="shared" si="14"/>
        <v>27828.933906281974</v>
      </c>
      <c r="O52" s="3">
        <f t="shared" si="14"/>
        <v>27828.933906281974</v>
      </c>
      <c r="P52" s="3">
        <f t="shared" si="14"/>
        <v>27828.933906281974</v>
      </c>
      <c r="Q52" s="3">
        <f t="shared" si="14"/>
        <v>27828.933906281974</v>
      </c>
      <c r="R52" s="3">
        <f t="shared" si="14"/>
        <v>27828.933906281974</v>
      </c>
      <c r="S52" s="3">
        <f t="shared" si="14"/>
        <v>27828.933906281974</v>
      </c>
      <c r="T52" s="3">
        <f t="shared" si="14"/>
        <v>27828.933906281974</v>
      </c>
      <c r="U52" s="3">
        <f t="shared" si="14"/>
        <v>27828.933906281974</v>
      </c>
      <c r="V52" s="3">
        <f t="shared" si="14"/>
        <v>27828.933906281974</v>
      </c>
      <c r="W52" s="3">
        <f t="shared" si="14"/>
        <v>27828.933906281974</v>
      </c>
      <c r="X52" s="3">
        <f t="shared" si="14"/>
        <v>27828.933906281974</v>
      </c>
      <c r="Y52" s="3">
        <f t="shared" si="14"/>
        <v>27828.933906281974</v>
      </c>
    </row>
    <row r="53" spans="1:26" x14ac:dyDescent="0.25">
      <c r="A53" s="22" t="s">
        <v>172</v>
      </c>
      <c r="B53" s="22"/>
      <c r="C53" s="22"/>
      <c r="D53" s="22"/>
      <c r="F53" s="3">
        <f>IF(F9&lt;&gt;"",F52*(1+$E$38)^-F9,"")</f>
        <v>24952.423929742941</v>
      </c>
      <c r="G53" s="3">
        <f>IF(G9&lt;&gt;"",G52*(1+UnosPodataka!N22)^-G9,"")</f>
        <v>27828.933906281974</v>
      </c>
      <c r="H53" s="3">
        <f>IF(H9&lt;&gt;"",H52*(1+UnosPodataka!O22)^-H9,"")</f>
        <v>27828.933906281974</v>
      </c>
      <c r="I53" s="3">
        <f>IF(I9&lt;&gt;"",I52*(1+UnosPodataka!P22)^-I9,"")</f>
        <v>27828.933906281974</v>
      </c>
      <c r="J53" s="3">
        <f>IF(J9&lt;&gt;"",J52*(1+UnosPodataka!Q22)^-J9,"")</f>
        <v>27828.933906281974</v>
      </c>
      <c r="K53" s="3">
        <f>IF(K9&lt;&gt;"",K52*(1+UnosPodataka!R22)^-K9,"")</f>
        <v>27828.933906281974</v>
      </c>
      <c r="L53" s="3">
        <f>IF(L9&lt;&gt;"",L52*(1+UnosPodataka!S22)^-L9,"")</f>
        <v>27828.933906281974</v>
      </c>
      <c r="M53" s="3">
        <f>IF(M9&lt;&gt;"",M52*(1+UnosPodataka!T22)^-M9,"")</f>
        <v>27828.933906281974</v>
      </c>
      <c r="N53" s="3">
        <f>IF(N9&lt;&gt;"",N52*(1+UnosPodataka!U22)^-N9,"")</f>
        <v>27828.933906281974</v>
      </c>
      <c r="O53" s="3">
        <f>IF(O9&lt;&gt;"",O52*(1+UnosPodataka!V22)^-O9,"")</f>
        <v>27828.933906281974</v>
      </c>
      <c r="P53" s="3">
        <f>IF(P9&lt;&gt;"",P52*(1+UnosPodataka!W22)^-P9,"")</f>
        <v>27828.933906281974</v>
      </c>
      <c r="Q53" s="3">
        <f>IF(Q9&lt;&gt;"",Q52*(1+UnosPodataka!X22)^-Q9,"")</f>
        <v>27828.933906281974</v>
      </c>
      <c r="R53" s="3">
        <f>IF(R9&lt;&gt;"",R52*(1+UnosPodataka!Y22)^-R9,"")</f>
        <v>27828.933906281974</v>
      </c>
      <c r="S53" s="3">
        <f>IF(S9&lt;&gt;"",S52*(1+UnosPodataka!Z22)^-S9,"")</f>
        <v>27828.933906281974</v>
      </c>
      <c r="T53" s="3">
        <f>IF(T9&lt;&gt;"",T52*(1+UnosPodataka!AA22)^-T9,"")</f>
        <v>27828.933906281974</v>
      </c>
      <c r="U53" s="3">
        <f>IF(U9&lt;&gt;"",U52*(1+UnosPodataka!AB22)^-U9,"")</f>
        <v>27828.933906281974</v>
      </c>
      <c r="V53" s="3">
        <f>IF(V9&lt;&gt;"",V52*(1+UnosPodataka!AC22)^-V9,"")</f>
        <v>27828.933906281974</v>
      </c>
      <c r="W53" s="3">
        <f>IF(W9&lt;&gt;"",W52*(1+UnosPodataka!AD22)^-W9,"")</f>
        <v>27828.933906281974</v>
      </c>
      <c r="X53" s="3">
        <f>IF(X9&lt;&gt;"",X52*(1+UnosPodataka!AE22)^-X9,"")</f>
        <v>27828.933906281974</v>
      </c>
      <c r="Y53" s="3">
        <f>IF(Y9&lt;&gt;"",Y52*(1+UnosPodataka!AF22)^-Y9,"")</f>
        <v>27828.933906281974</v>
      </c>
    </row>
    <row r="54" spans="1:26" x14ac:dyDescent="0.25">
      <c r="A54" s="22" t="s">
        <v>173</v>
      </c>
      <c r="B54" s="22"/>
      <c r="C54" s="22"/>
      <c r="D54" s="22"/>
      <c r="F54" s="3">
        <f t="shared" ref="F54:Y54" si="15">IF(F9&lt;&gt;"",E54+F53,"")</f>
        <v>24952.423929742941</v>
      </c>
      <c r="G54" s="3">
        <f t="shared" si="15"/>
        <v>52781.357836024916</v>
      </c>
      <c r="H54" s="3">
        <f t="shared" si="15"/>
        <v>80610.291742306887</v>
      </c>
      <c r="I54" s="3">
        <f t="shared" si="15"/>
        <v>108439.22564858886</v>
      </c>
      <c r="J54" s="3">
        <f t="shared" si="15"/>
        <v>136268.15955487083</v>
      </c>
      <c r="K54" s="3">
        <f t="shared" si="15"/>
        <v>164097.09346115281</v>
      </c>
      <c r="L54" s="3">
        <f t="shared" si="15"/>
        <v>191926.02736743478</v>
      </c>
      <c r="M54" s="3">
        <f t="shared" si="15"/>
        <v>219754.96127371676</v>
      </c>
      <c r="N54" s="3">
        <f t="shared" si="15"/>
        <v>247583.89517999874</v>
      </c>
      <c r="O54" s="3">
        <f t="shared" si="15"/>
        <v>275412.82908628072</v>
      </c>
      <c r="P54" s="3">
        <f t="shared" si="15"/>
        <v>303241.76299256267</v>
      </c>
      <c r="Q54" s="3">
        <f t="shared" si="15"/>
        <v>331070.69689884462</v>
      </c>
      <c r="R54" s="3">
        <f t="shared" si="15"/>
        <v>358899.63080512657</v>
      </c>
      <c r="S54" s="3">
        <f t="shared" si="15"/>
        <v>386728.56471140851</v>
      </c>
      <c r="T54" s="3">
        <f t="shared" si="15"/>
        <v>414557.49861769046</v>
      </c>
      <c r="U54" s="3">
        <f t="shared" si="15"/>
        <v>442386.43252397241</v>
      </c>
      <c r="V54" s="3">
        <f t="shared" si="15"/>
        <v>470215.36643025436</v>
      </c>
      <c r="W54" s="3">
        <f t="shared" si="15"/>
        <v>498044.30033653631</v>
      </c>
      <c r="X54" s="3">
        <f t="shared" si="15"/>
        <v>525873.23424281832</v>
      </c>
      <c r="Y54" s="3">
        <f t="shared" si="15"/>
        <v>553702.16814910027</v>
      </c>
    </row>
    <row r="55" spans="1:26" x14ac:dyDescent="0.25">
      <c r="A55" s="22" t="s">
        <v>174</v>
      </c>
      <c r="B55" s="22"/>
      <c r="C55" s="22"/>
      <c r="D55" s="22"/>
      <c r="F55" s="3">
        <f t="shared" ref="F55:Y55" si="16">IF(F9&lt;&gt;"",F54+F51,"")</f>
        <v>-90451.746018535603</v>
      </c>
      <c r="G55" s="3">
        <f t="shared" si="16"/>
        <v>-84248.63472834861</v>
      </c>
      <c r="H55" s="3">
        <f t="shared" si="16"/>
        <v>-76003.489854564206</v>
      </c>
      <c r="I55" s="3">
        <f t="shared" si="16"/>
        <v>-65928.20225887651</v>
      </c>
      <c r="J55" s="3">
        <f t="shared" si="16"/>
        <v>-54212.764378006774</v>
      </c>
      <c r="K55" s="3">
        <f t="shared" si="16"/>
        <v>-28846.74455257869</v>
      </c>
      <c r="L55" s="3">
        <f t="shared" si="16"/>
        <v>-3226.1480714729987</v>
      </c>
      <c r="M55" s="3">
        <f t="shared" si="16"/>
        <v>22622.711003394856</v>
      </c>
      <c r="N55" s="3">
        <f t="shared" si="16"/>
        <v>48676.238536854682</v>
      </c>
      <c r="O55" s="3">
        <f t="shared" si="16"/>
        <v>74913.279177968303</v>
      </c>
      <c r="P55" s="3">
        <f t="shared" si="16"/>
        <v>101314.86427753163</v>
      </c>
      <c r="Q55" s="3">
        <f t="shared" si="16"/>
        <v>127863.98586183251</v>
      </c>
      <c r="R55" s="3">
        <f t="shared" si="16"/>
        <v>154545.39396938556</v>
      </c>
      <c r="S55" s="3">
        <f t="shared" si="16"/>
        <v>181345.41493575295</v>
      </c>
      <c r="T55" s="3">
        <f t="shared" si="16"/>
        <v>208251.78846117351</v>
      </c>
      <c r="U55" s="3">
        <f t="shared" si="16"/>
        <v>235253.52151953356</v>
      </c>
      <c r="V55" s="3">
        <f t="shared" si="16"/>
        <v>262340.75736789132</v>
      </c>
      <c r="W55" s="3">
        <f t="shared" si="16"/>
        <v>289504.6580957009</v>
      </c>
      <c r="X55" s="3">
        <f t="shared" si="16"/>
        <v>316737.29931421881</v>
      </c>
      <c r="Y55" s="3">
        <f t="shared" si="16"/>
        <v>344031.57573123428</v>
      </c>
    </row>
    <row r="56" spans="1:26" x14ac:dyDescent="0.25">
      <c r="A56" s="33" t="s">
        <v>175</v>
      </c>
      <c r="B56" s="33"/>
      <c r="C56" s="33"/>
      <c r="D56" s="3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8" spans="1:26" x14ac:dyDescent="0.25">
      <c r="A58" s="65" t="s">
        <v>96</v>
      </c>
      <c r="B58" s="65"/>
      <c r="C58" s="65"/>
      <c r="D58" s="65"/>
      <c r="E58" s="3">
        <f>E11</f>
        <v>84500</v>
      </c>
      <c r="F58" s="3">
        <f t="shared" ref="F58:Y58" si="17">IF(F9="",E58,-F51)</f>
        <v>115404.16994827855</v>
      </c>
      <c r="G58" s="3">
        <f t="shared" si="17"/>
        <v>137029.99256437353</v>
      </c>
      <c r="H58" s="3">
        <f t="shared" si="17"/>
        <v>156613.78159687109</v>
      </c>
      <c r="I58" s="3">
        <f t="shared" si="17"/>
        <v>174367.42790746538</v>
      </c>
      <c r="J58" s="3">
        <f t="shared" si="17"/>
        <v>190480.9239328776</v>
      </c>
      <c r="K58" s="3">
        <f t="shared" si="17"/>
        <v>192943.8380137315</v>
      </c>
      <c r="L58" s="3">
        <f t="shared" si="17"/>
        <v>195152.17543890778</v>
      </c>
      <c r="M58" s="3">
        <f t="shared" si="17"/>
        <v>197132.25027032191</v>
      </c>
      <c r="N58" s="3">
        <f t="shared" si="17"/>
        <v>198907.65664314406</v>
      </c>
      <c r="O58" s="3">
        <f t="shared" si="17"/>
        <v>200499.54990831242</v>
      </c>
      <c r="P58" s="3">
        <f t="shared" si="17"/>
        <v>201926.89871503104</v>
      </c>
      <c r="Q58" s="3">
        <f t="shared" si="17"/>
        <v>203206.71103701211</v>
      </c>
      <c r="R58" s="3">
        <f t="shared" si="17"/>
        <v>204354.236835741</v>
      </c>
      <c r="S58" s="3">
        <f t="shared" si="17"/>
        <v>205383.14977565556</v>
      </c>
      <c r="T58" s="3">
        <f t="shared" si="17"/>
        <v>206305.71015651696</v>
      </c>
      <c r="U58" s="3">
        <f t="shared" si="17"/>
        <v>207132.91100443885</v>
      </c>
      <c r="V58" s="3">
        <f t="shared" si="17"/>
        <v>207874.60906236304</v>
      </c>
      <c r="W58" s="3">
        <f t="shared" si="17"/>
        <v>208539.64224083538</v>
      </c>
      <c r="X58" s="3">
        <f t="shared" si="17"/>
        <v>209135.93492859948</v>
      </c>
      <c r="Y58" s="3">
        <f t="shared" si="17"/>
        <v>209670.59241786596</v>
      </c>
    </row>
    <row r="59" spans="1:26" x14ac:dyDescent="0.25">
      <c r="A59" s="65" t="s">
        <v>97</v>
      </c>
      <c r="B59" s="65"/>
      <c r="C59" s="65"/>
      <c r="D59" s="65"/>
      <c r="F59" s="3">
        <f t="shared" ref="F59:Y59" si="18">IF(F9="",E59,F54)</f>
        <v>24952.423929742941</v>
      </c>
      <c r="G59" s="3">
        <f t="shared" si="18"/>
        <v>52781.357836024916</v>
      </c>
      <c r="H59" s="3">
        <f t="shared" si="18"/>
        <v>80610.291742306887</v>
      </c>
      <c r="I59" s="3">
        <f t="shared" si="18"/>
        <v>108439.22564858886</v>
      </c>
      <c r="J59" s="3">
        <f t="shared" si="18"/>
        <v>136268.15955487083</v>
      </c>
      <c r="K59" s="3">
        <f t="shared" si="18"/>
        <v>164097.09346115281</v>
      </c>
      <c r="L59" s="3">
        <f t="shared" si="18"/>
        <v>191926.02736743478</v>
      </c>
      <c r="M59" s="3">
        <f t="shared" si="18"/>
        <v>219754.96127371676</v>
      </c>
      <c r="N59" s="3">
        <f t="shared" si="18"/>
        <v>247583.89517999874</v>
      </c>
      <c r="O59" s="3">
        <f t="shared" si="18"/>
        <v>275412.82908628072</v>
      </c>
      <c r="P59" s="3">
        <f t="shared" si="18"/>
        <v>303241.76299256267</v>
      </c>
      <c r="Q59" s="3">
        <f t="shared" si="18"/>
        <v>331070.69689884462</v>
      </c>
      <c r="R59" s="3">
        <f t="shared" si="18"/>
        <v>358899.63080512657</v>
      </c>
      <c r="S59" s="3">
        <f t="shared" si="18"/>
        <v>386728.56471140851</v>
      </c>
      <c r="T59" s="3">
        <f t="shared" si="18"/>
        <v>414557.49861769046</v>
      </c>
      <c r="U59" s="3">
        <f t="shared" si="18"/>
        <v>442386.43252397241</v>
      </c>
      <c r="V59" s="3">
        <f t="shared" si="18"/>
        <v>470215.36643025436</v>
      </c>
      <c r="W59" s="3">
        <f t="shared" si="18"/>
        <v>498044.30033653631</v>
      </c>
      <c r="X59" s="3">
        <f t="shared" si="18"/>
        <v>525873.23424281832</v>
      </c>
      <c r="Y59" s="3">
        <f t="shared" si="18"/>
        <v>553702.16814910027</v>
      </c>
    </row>
  </sheetData>
  <sheetProtection selectLockedCells="1"/>
  <mergeCells count="26">
    <mergeCell ref="A15:D15"/>
    <mergeCell ref="A19:D19"/>
    <mergeCell ref="A25:D25"/>
    <mergeCell ref="E3:H3"/>
    <mergeCell ref="A58:D58"/>
    <mergeCell ref="A59:D59"/>
    <mergeCell ref="A12:D12"/>
    <mergeCell ref="A20:D20"/>
    <mergeCell ref="A23:D23"/>
    <mergeCell ref="A24:D24"/>
    <mergeCell ref="A27:D27"/>
    <mergeCell ref="A26:D26"/>
    <mergeCell ref="A13:D13"/>
    <mergeCell ref="A16:D16"/>
    <mergeCell ref="A18:D18"/>
    <mergeCell ref="A17:D17"/>
    <mergeCell ref="A22:D22"/>
    <mergeCell ref="A30:D30"/>
    <mergeCell ref="A32:D32"/>
    <mergeCell ref="A33:D33"/>
    <mergeCell ref="A31:D31"/>
    <mergeCell ref="I7:J7"/>
    <mergeCell ref="N7:O7"/>
    <mergeCell ref="A7:D7"/>
    <mergeCell ref="A9:D9"/>
    <mergeCell ref="A11:D11"/>
  </mergeCells>
  <dataValidations count="2">
    <dataValidation allowBlank="1" showInputMessage="1" showErrorMessage="1" promptTitle="BrutoDobit" prompt="Bruto dobit prema Bilansu uspeha, ne obuhvata otplatu glavice." sqref="A30:D30"/>
    <dataValidation allowBlank="1" showInputMessage="1" showErrorMessage="1" promptTitle="CashFlow" prompt="Ne obuhvata amortizaciju, ali obuhvata otplatu glavnice." sqref="A35"/>
  </dataValidations>
  <hyperlinks>
    <hyperlink ref="I7:J7" location="Anuiteti!I4" display="NAZAD"/>
    <hyperlink ref="N7:O7" location="EconIndikatori!A1" display="DALJE"/>
  </hyperlinks>
  <pageMargins left="0.7" right="0.7" top="0.75" bottom="0.75" header="0.3" footer="0.3"/>
  <pageSetup paperSize="9" orientation="portrait" r:id="rId1"/>
  <ignoredErrors>
    <ignoredError sqref="E46" evalErro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Z61"/>
  <sheetViews>
    <sheetView showZeros="0" zoomScale="80" zoomScaleNormal="80" workbookViewId="0">
      <selection activeCell="F14" sqref="F14"/>
    </sheetView>
  </sheetViews>
  <sheetFormatPr defaultRowHeight="15" x14ac:dyDescent="0.25"/>
  <cols>
    <col min="4" max="4" width="21.42578125" customWidth="1"/>
    <col min="5" max="5" width="14.28515625" customWidth="1"/>
    <col min="6" max="25" width="12.7109375" customWidth="1"/>
  </cols>
  <sheetData>
    <row r="3" spans="1:25" ht="16.5" x14ac:dyDescent="0.35">
      <c r="E3" s="55" t="s">
        <v>158</v>
      </c>
      <c r="F3" s="55"/>
      <c r="G3" s="55"/>
      <c r="H3" s="55"/>
    </row>
    <row r="7" spans="1:25" ht="21" x14ac:dyDescent="0.35">
      <c r="A7" s="72" t="s">
        <v>159</v>
      </c>
      <c r="B7" s="72"/>
      <c r="C7" s="72"/>
      <c r="D7" s="72"/>
      <c r="I7" s="59" t="s">
        <v>138</v>
      </c>
      <c r="J7" s="59"/>
      <c r="N7" s="60" t="s">
        <v>139</v>
      </c>
      <c r="O7" s="60"/>
    </row>
    <row r="9" spans="1:25" x14ac:dyDescent="0.25">
      <c r="A9" s="58" t="s">
        <v>60</v>
      </c>
      <c r="B9" s="58"/>
      <c r="C9" s="58"/>
      <c r="D9" s="58"/>
      <c r="E9" s="16">
        <v>0</v>
      </c>
      <c r="F9" s="16">
        <v>1</v>
      </c>
      <c r="G9" s="16">
        <f>IF(F9&lt;UnosPodataka!$M$28,'FinInd+CO2'!F9+1,"")</f>
        <v>2</v>
      </c>
      <c r="H9" s="16">
        <f>IF(G9&lt;UnosPodataka!$M$28,'FinInd+CO2'!G9+1,"")</f>
        <v>3</v>
      </c>
      <c r="I9" s="16">
        <f>IF(H9&lt;UnosPodataka!$M$28,'FinInd+CO2'!H9+1,"")</f>
        <v>4</v>
      </c>
      <c r="J9" s="16">
        <f>IF(I9&lt;UnosPodataka!$M$28,'FinInd+CO2'!I9+1,"")</f>
        <v>5</v>
      </c>
      <c r="K9" s="16">
        <f>IF(J9&lt;UnosPodataka!$M$28,'FinInd+CO2'!J9+1,"")</f>
        <v>6</v>
      </c>
      <c r="L9" s="16">
        <f>IF(K9&lt;UnosPodataka!$M$28,'FinInd+CO2'!K9+1,"")</f>
        <v>7</v>
      </c>
      <c r="M9" s="16">
        <f>IF(L9&lt;UnosPodataka!$M$28,'FinInd+CO2'!L9+1,"")</f>
        <v>8</v>
      </c>
      <c r="N9" s="16">
        <f>IF(M9&lt;UnosPodataka!$M$28,'FinInd+CO2'!M9+1,"")</f>
        <v>9</v>
      </c>
      <c r="O9" s="16">
        <f>IF(N9&lt;UnosPodataka!$M$28,'FinInd+CO2'!N9+1,"")</f>
        <v>10</v>
      </c>
      <c r="P9" s="16">
        <f>IF(O9&lt;UnosPodataka!$M$28,'FinInd+CO2'!O9+1,"")</f>
        <v>11</v>
      </c>
      <c r="Q9" s="16">
        <f>IF(P9&lt;UnosPodataka!$M$28,'FinInd+CO2'!P9+1,"")</f>
        <v>12</v>
      </c>
      <c r="R9" s="16">
        <f>IF(Q9&lt;UnosPodataka!$M$28,'FinInd+CO2'!Q9+1,"")</f>
        <v>13</v>
      </c>
      <c r="S9" s="16">
        <f>IF(R9&lt;UnosPodataka!$M$28,'FinInd+CO2'!R9+1,"")</f>
        <v>14</v>
      </c>
      <c r="T9" s="16">
        <f>IF(S9&lt;UnosPodataka!$M$28,'FinInd+CO2'!S9+1,"")</f>
        <v>15</v>
      </c>
      <c r="U9" s="16">
        <f>IF(T9&lt;UnosPodataka!$M$28,'FinInd+CO2'!T9+1,"")</f>
        <v>16</v>
      </c>
      <c r="V9" s="16">
        <f>IF(U9&lt;UnosPodataka!$M$28,'FinInd+CO2'!U9+1,"")</f>
        <v>17</v>
      </c>
      <c r="W9" s="16">
        <f>IF(V9&lt;UnosPodataka!$M$28,'FinInd+CO2'!V9+1,"")</f>
        <v>18</v>
      </c>
      <c r="X9" s="16">
        <f>IF(W9&lt;UnosPodataka!$M$28,'FinInd+CO2'!W9+1,"")</f>
        <v>19</v>
      </c>
      <c r="Y9" s="16">
        <f>IF(X9&lt;UnosPodataka!$M$28,'FinInd+CO2'!X9+1,"")</f>
        <v>20</v>
      </c>
    </row>
    <row r="11" spans="1:25" x14ac:dyDescent="0.25">
      <c r="A11" s="65" t="s">
        <v>85</v>
      </c>
      <c r="B11" s="65"/>
      <c r="C11" s="65"/>
      <c r="D11" s="65"/>
      <c r="E11" s="3">
        <f>Loan</f>
        <v>84500</v>
      </c>
    </row>
    <row r="12" spans="1:25" x14ac:dyDescent="0.25">
      <c r="A12" s="65" t="s">
        <v>86</v>
      </c>
      <c r="B12" s="65"/>
      <c r="C12" s="65"/>
      <c r="D12" s="65"/>
      <c r="E12" s="3">
        <f>IF(Equity=0,Loan,Equity)</f>
        <v>7000</v>
      </c>
    </row>
    <row r="13" spans="1:25" x14ac:dyDescent="0.25">
      <c r="A13" s="65" t="s">
        <v>161</v>
      </c>
      <c r="B13" s="65"/>
      <c r="C13" s="65"/>
      <c r="D13" s="65"/>
      <c r="E13" s="3">
        <f>+PomTab1!K22</f>
        <v>0</v>
      </c>
    </row>
    <row r="14" spans="1:25" ht="18" x14ac:dyDescent="0.35">
      <c r="A14" s="65" t="s">
        <v>98</v>
      </c>
      <c r="B14" s="65"/>
      <c r="C14" s="65"/>
      <c r="D14" s="65"/>
      <c r="F14" s="3">
        <f t="shared" ref="F14:Y14" si="0">IF(F9&lt;&gt;"",IF(CARBON&lt;0,0,CARBON),"")</f>
        <v>81.871345029239805</v>
      </c>
      <c r="G14" s="3">
        <f t="shared" si="0"/>
        <v>81.871345029239805</v>
      </c>
      <c r="H14" s="3">
        <f t="shared" si="0"/>
        <v>81.871345029239805</v>
      </c>
      <c r="I14" s="3">
        <f t="shared" si="0"/>
        <v>81.871345029239805</v>
      </c>
      <c r="J14" s="3">
        <f t="shared" si="0"/>
        <v>81.871345029239805</v>
      </c>
      <c r="K14" s="3">
        <f t="shared" si="0"/>
        <v>81.871345029239805</v>
      </c>
      <c r="L14" s="3">
        <f t="shared" si="0"/>
        <v>81.871345029239805</v>
      </c>
      <c r="M14" s="3">
        <f t="shared" si="0"/>
        <v>81.871345029239805</v>
      </c>
      <c r="N14" s="3">
        <f t="shared" si="0"/>
        <v>81.871345029239805</v>
      </c>
      <c r="O14" s="3">
        <f t="shared" si="0"/>
        <v>81.871345029239805</v>
      </c>
      <c r="P14" s="3">
        <f t="shared" si="0"/>
        <v>81.871345029239805</v>
      </c>
      <c r="Q14" s="3">
        <f t="shared" si="0"/>
        <v>81.871345029239805</v>
      </c>
      <c r="R14" s="3">
        <f t="shared" si="0"/>
        <v>81.871345029239805</v>
      </c>
      <c r="S14" s="3">
        <f t="shared" si="0"/>
        <v>81.871345029239805</v>
      </c>
      <c r="T14" s="3">
        <f t="shared" si="0"/>
        <v>81.871345029239805</v>
      </c>
      <c r="U14" s="3">
        <f t="shared" si="0"/>
        <v>81.871345029239805</v>
      </c>
      <c r="V14" s="3">
        <f t="shared" si="0"/>
        <v>81.871345029239805</v>
      </c>
      <c r="W14" s="3">
        <f t="shared" si="0"/>
        <v>81.871345029239805</v>
      </c>
      <c r="X14" s="3">
        <f t="shared" si="0"/>
        <v>81.871345029239805</v>
      </c>
      <c r="Y14" s="3">
        <f t="shared" si="0"/>
        <v>81.871345029239805</v>
      </c>
    </row>
    <row r="15" spans="1:25" x14ac:dyDescent="0.25">
      <c r="A15" s="66"/>
      <c r="B15" s="66"/>
      <c r="C15" s="66"/>
      <c r="D15" s="66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x14ac:dyDescent="0.25">
      <c r="A16" s="58" t="s">
        <v>162</v>
      </c>
      <c r="B16" s="58"/>
      <c r="C16" s="58"/>
      <c r="D16" s="58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5" t="s">
        <v>118</v>
      </c>
      <c r="B17" s="65"/>
      <c r="C17" s="65"/>
      <c r="D17" s="65"/>
      <c r="F17" s="3">
        <f t="shared" ref="F17:Y17" si="1">IF(F9&lt;&gt;"",Money,"")</f>
        <v>27828.933906281974</v>
      </c>
      <c r="G17" s="3">
        <f t="shared" si="1"/>
        <v>27828.933906281974</v>
      </c>
      <c r="H17" s="3">
        <f t="shared" si="1"/>
        <v>27828.933906281974</v>
      </c>
      <c r="I17" s="3">
        <f t="shared" si="1"/>
        <v>27828.933906281974</v>
      </c>
      <c r="J17" s="3">
        <f t="shared" si="1"/>
        <v>27828.933906281974</v>
      </c>
      <c r="K17" s="3">
        <f t="shared" si="1"/>
        <v>27828.933906281974</v>
      </c>
      <c r="L17" s="3">
        <f t="shared" si="1"/>
        <v>27828.933906281974</v>
      </c>
      <c r="M17" s="3">
        <f t="shared" si="1"/>
        <v>27828.933906281974</v>
      </c>
      <c r="N17" s="3">
        <f t="shared" si="1"/>
        <v>27828.933906281974</v>
      </c>
      <c r="O17" s="3">
        <f t="shared" si="1"/>
        <v>27828.933906281974</v>
      </c>
      <c r="P17" s="3">
        <f t="shared" si="1"/>
        <v>27828.933906281974</v>
      </c>
      <c r="Q17" s="3">
        <f t="shared" si="1"/>
        <v>27828.933906281974</v>
      </c>
      <c r="R17" s="3">
        <f t="shared" si="1"/>
        <v>27828.933906281974</v>
      </c>
      <c r="S17" s="3">
        <f t="shared" si="1"/>
        <v>27828.933906281974</v>
      </c>
      <c r="T17" s="3">
        <f t="shared" si="1"/>
        <v>27828.933906281974</v>
      </c>
      <c r="U17" s="3">
        <f t="shared" si="1"/>
        <v>27828.933906281974</v>
      </c>
      <c r="V17" s="3">
        <f t="shared" si="1"/>
        <v>27828.933906281974</v>
      </c>
      <c r="W17" s="3">
        <f t="shared" si="1"/>
        <v>27828.933906281974</v>
      </c>
      <c r="X17" s="3">
        <f t="shared" si="1"/>
        <v>27828.933906281974</v>
      </c>
      <c r="Y17" s="3">
        <f t="shared" si="1"/>
        <v>27828.933906281974</v>
      </c>
    </row>
    <row r="18" spans="1:25" ht="18" x14ac:dyDescent="0.35">
      <c r="A18" s="65" t="s">
        <v>99</v>
      </c>
      <c r="B18" s="65"/>
      <c r="C18" s="65"/>
      <c r="D18" s="65"/>
      <c r="F18" s="3">
        <f>IF(F9&lt;&gt;"",CARBON*CO2Tax,"")</f>
        <v>7977.5438596491267</v>
      </c>
      <c r="G18" s="3">
        <f t="shared" ref="G18:Y18" si="2">IF(G9&lt;&gt;"",G14*CO2Tax,"")</f>
        <v>7977.5438596491267</v>
      </c>
      <c r="H18" s="3">
        <f t="shared" si="2"/>
        <v>7977.5438596491267</v>
      </c>
      <c r="I18" s="3">
        <f t="shared" si="2"/>
        <v>7977.5438596491267</v>
      </c>
      <c r="J18" s="3">
        <f t="shared" si="2"/>
        <v>7977.5438596491267</v>
      </c>
      <c r="K18" s="3">
        <f t="shared" si="2"/>
        <v>7977.5438596491267</v>
      </c>
      <c r="L18" s="3">
        <f t="shared" si="2"/>
        <v>7977.5438596491267</v>
      </c>
      <c r="M18" s="3">
        <f t="shared" si="2"/>
        <v>7977.5438596491267</v>
      </c>
      <c r="N18" s="3">
        <f t="shared" si="2"/>
        <v>7977.5438596491267</v>
      </c>
      <c r="O18" s="3">
        <f t="shared" si="2"/>
        <v>7977.5438596491267</v>
      </c>
      <c r="P18" s="3">
        <f t="shared" si="2"/>
        <v>7977.5438596491267</v>
      </c>
      <c r="Q18" s="3">
        <f t="shared" si="2"/>
        <v>7977.5438596491267</v>
      </c>
      <c r="R18" s="3">
        <f t="shared" si="2"/>
        <v>7977.5438596491267</v>
      </c>
      <c r="S18" s="3">
        <f t="shared" si="2"/>
        <v>7977.5438596491267</v>
      </c>
      <c r="T18" s="3">
        <f t="shared" si="2"/>
        <v>7977.5438596491267</v>
      </c>
      <c r="U18" s="3">
        <f t="shared" si="2"/>
        <v>7977.5438596491267</v>
      </c>
      <c r="V18" s="3">
        <f t="shared" si="2"/>
        <v>7977.5438596491267</v>
      </c>
      <c r="W18" s="3">
        <f t="shared" si="2"/>
        <v>7977.5438596491267</v>
      </c>
      <c r="X18" s="3">
        <f t="shared" si="2"/>
        <v>7977.5438596491267</v>
      </c>
      <c r="Y18" s="3">
        <f t="shared" si="2"/>
        <v>7977.5438596491267</v>
      </c>
    </row>
    <row r="19" spans="1:25" x14ac:dyDescent="0.25">
      <c r="A19" s="70" t="s">
        <v>87</v>
      </c>
      <c r="B19" s="70"/>
      <c r="C19" s="70"/>
      <c r="D19" s="70"/>
      <c r="E19" s="31"/>
      <c r="F19" s="32">
        <f t="shared" ref="F19:Y19" si="3">IF(F9&lt;&gt;"",F17+F18,"")</f>
        <v>35806.4777659311</v>
      </c>
      <c r="G19" s="32">
        <f t="shared" si="3"/>
        <v>35806.4777659311</v>
      </c>
      <c r="H19" s="32">
        <f t="shared" si="3"/>
        <v>35806.4777659311</v>
      </c>
      <c r="I19" s="32">
        <f t="shared" si="3"/>
        <v>35806.4777659311</v>
      </c>
      <c r="J19" s="32">
        <f t="shared" si="3"/>
        <v>35806.4777659311</v>
      </c>
      <c r="K19" s="32">
        <f t="shared" si="3"/>
        <v>35806.4777659311</v>
      </c>
      <c r="L19" s="32">
        <f t="shared" si="3"/>
        <v>35806.4777659311</v>
      </c>
      <c r="M19" s="32">
        <f t="shared" si="3"/>
        <v>35806.4777659311</v>
      </c>
      <c r="N19" s="32">
        <f t="shared" si="3"/>
        <v>35806.4777659311</v>
      </c>
      <c r="O19" s="32">
        <f t="shared" si="3"/>
        <v>35806.4777659311</v>
      </c>
      <c r="P19" s="32">
        <f t="shared" si="3"/>
        <v>35806.4777659311</v>
      </c>
      <c r="Q19" s="32">
        <f t="shared" si="3"/>
        <v>35806.4777659311</v>
      </c>
      <c r="R19" s="32">
        <f t="shared" si="3"/>
        <v>35806.4777659311</v>
      </c>
      <c r="S19" s="32">
        <f t="shared" si="3"/>
        <v>35806.4777659311</v>
      </c>
      <c r="T19" s="32">
        <f t="shared" si="3"/>
        <v>35806.4777659311</v>
      </c>
      <c r="U19" s="32">
        <f t="shared" si="3"/>
        <v>35806.4777659311</v>
      </c>
      <c r="V19" s="32">
        <f t="shared" si="3"/>
        <v>35806.4777659311</v>
      </c>
      <c r="W19" s="32">
        <f t="shared" si="3"/>
        <v>35806.4777659311</v>
      </c>
      <c r="X19" s="32">
        <f t="shared" si="3"/>
        <v>35806.4777659311</v>
      </c>
      <c r="Y19" s="32">
        <f t="shared" si="3"/>
        <v>35806.4777659311</v>
      </c>
    </row>
    <row r="20" spans="1:25" x14ac:dyDescent="0.25">
      <c r="A20" s="66"/>
      <c r="B20" s="66"/>
      <c r="C20" s="66"/>
      <c r="D20" s="66"/>
    </row>
    <row r="21" spans="1:25" x14ac:dyDescent="0.25">
      <c r="A21" s="58" t="s">
        <v>163</v>
      </c>
      <c r="B21" s="58"/>
      <c r="C21" s="58"/>
      <c r="D21" s="58"/>
    </row>
    <row r="22" spans="1:25" x14ac:dyDescent="0.25">
      <c r="A22" s="65" t="s">
        <v>100</v>
      </c>
      <c r="B22" s="65"/>
      <c r="C22" s="65"/>
      <c r="D22" s="65"/>
      <c r="F22" s="3">
        <f>IF(F9&gt;UnosPodataka!$M$25,"",-VLOOKUP(F9,Anuiteti!$B$13:$E$32,3,FALSE))</f>
        <v>-10140</v>
      </c>
      <c r="G22" s="3">
        <f>IF(G9&gt;UnosPodataka!$M$25,"",-VLOOKUP(G9,Anuiteti!$B$13:$E$32,3,FALSE))</f>
        <v>-8543.8653181177633</v>
      </c>
      <c r="H22" s="3">
        <f>IF(H9&gt;UnosPodataka!$M$25,"",-VLOOKUP(H9,Anuiteti!$B$13:$E$32,3,FALSE))</f>
        <v>-6756.1944744096591</v>
      </c>
      <c r="I22" s="3">
        <f>IF(I9&gt;UnosPodataka!$M$25,"",-VLOOKUP(I9,Anuiteti!$B$13:$E$32,3,FALSE))</f>
        <v>-4754.0031294565833</v>
      </c>
      <c r="J22" s="3">
        <f>IF(J9&gt;UnosPodataka!$M$25,"",-VLOOKUP(J9,Anuiteti!$B$13:$E$32,3,FALSE))</f>
        <v>-2511.5488231091376</v>
      </c>
      <c r="K22" s="3" t="str">
        <f>IF(K9&gt;UnosPodataka!$M$25,"",-VLOOKUP(K9,Anuiteti!$B$13:$E$32,3,FALSE))</f>
        <v/>
      </c>
      <c r="L22" s="3" t="str">
        <f>IF(L9&gt;UnosPodataka!$M$25,"",-VLOOKUP(L9,Anuiteti!$B$13:$E$32,3,FALSE))</f>
        <v/>
      </c>
      <c r="M22" s="3" t="str">
        <f>IF(M9&gt;UnosPodataka!$M$25,"",-VLOOKUP(M9,Anuiteti!$B$13:$E$32,3,FALSE))</f>
        <v/>
      </c>
      <c r="N22" s="3" t="str">
        <f>IF(N9&gt;UnosPodataka!$M$25,"",-VLOOKUP(N9,Anuiteti!$B$13:$E$32,3,FALSE))</f>
        <v/>
      </c>
      <c r="O22" s="3" t="str">
        <f>IF(O9&gt;UnosPodataka!$M$25,"",-VLOOKUP(O9,Anuiteti!$B$13:$E$32,3,FALSE))</f>
        <v/>
      </c>
      <c r="P22" s="3" t="str">
        <f>IF(P9&gt;UnosPodataka!$M$25,"",-VLOOKUP(P9,Anuiteti!$B$13:$E$32,3,FALSE))</f>
        <v/>
      </c>
      <c r="Q22" s="3" t="str">
        <f>IF(Q9&gt;UnosPodataka!$M$25,"",-VLOOKUP(Q9,Anuiteti!$B$13:$E$32,3,FALSE))</f>
        <v/>
      </c>
      <c r="R22" s="3" t="str">
        <f>IF(R9&gt;UnosPodataka!$M$25,"",-VLOOKUP(R9,Anuiteti!$B$13:$E$32,3,FALSE))</f>
        <v/>
      </c>
      <c r="S22" s="3" t="str">
        <f>IF(S9&gt;UnosPodataka!$M$25,"",-VLOOKUP(S9,Anuiteti!$B$13:$E$32,3,FALSE))</f>
        <v/>
      </c>
      <c r="T22" s="3" t="str">
        <f>IF(T9&gt;UnosPodataka!$M$25,"",-VLOOKUP(T9,Anuiteti!$B$13:$E$32,3,FALSE))</f>
        <v/>
      </c>
      <c r="U22" s="3" t="str">
        <f>IF(U9&gt;UnosPodataka!$M$25,"",-VLOOKUP(U9,Anuiteti!$B$13:$E$32,3,FALSE))</f>
        <v/>
      </c>
      <c r="V22" s="3" t="str">
        <f>IF(V9&gt;UnosPodataka!$M$25,"",-VLOOKUP(V9,Anuiteti!$B$13:$E$32,3,FALSE))</f>
        <v/>
      </c>
      <c r="W22" s="3" t="str">
        <f>IF(W9&gt;UnosPodataka!$M$25,"",-VLOOKUP(W9,Anuiteti!$B$13:$E$32,3,FALSE))</f>
        <v/>
      </c>
      <c r="X22" s="3" t="str">
        <f>IF(X9&gt;UnosPodataka!$M$25,"",-VLOOKUP(X9,Anuiteti!$B$13:$E$32,3,FALSE))</f>
        <v/>
      </c>
      <c r="Y22" s="3" t="str">
        <f>IF(Y9&gt;UnosPodataka!$M$25,"",-VLOOKUP(Y9,Anuiteti!$B$13:$E$32,3,FALSE))</f>
        <v/>
      </c>
    </row>
    <row r="23" spans="1:25" x14ac:dyDescent="0.25">
      <c r="A23" s="22" t="s">
        <v>164</v>
      </c>
      <c r="B23" s="22"/>
      <c r="C23" s="22"/>
      <c r="D23" s="22"/>
      <c r="F23" s="3">
        <f>IF(F22="",0,IF(F9&gt;UnosPodataka!$M$25,"",VLOOKUP(F9,Anuiteti!$B$13:$E$32,4,FALSE)+VLOOKUP(F9,Anuiteti!$B$13:$E$32,3,FALSE)))</f>
        <v>-13301.122349018631</v>
      </c>
      <c r="G23" s="3">
        <f>IF(G22="",0,IF(G9&gt;UnosPodataka!$M$25,"",VLOOKUP(G9,Anuiteti!$B$13:$E$32,4,FALSE)+VLOOKUP(G9,Anuiteti!$B$13:$E$32,3,FALSE)))</f>
        <v>-14897.257030900868</v>
      </c>
      <c r="H23" s="3">
        <f>IF(H22="",0,IF(H9&gt;UnosPodataka!$M$25,"",VLOOKUP(H9,Anuiteti!$B$13:$E$32,4,FALSE)+VLOOKUP(H9,Anuiteti!$B$13:$E$32,3,FALSE)))</f>
        <v>-16684.927874608973</v>
      </c>
      <c r="I23" s="3">
        <f>IF(I22="",0,IF(I9&gt;UnosPodataka!$M$25,"",VLOOKUP(I9,Anuiteti!$B$13:$E$32,4,FALSE)+VLOOKUP(I9,Anuiteti!$B$13:$E$32,3,FALSE)))</f>
        <v>-18687.119219562046</v>
      </c>
      <c r="J23" s="3">
        <f>IF(J22="",0,IF(J9&gt;UnosPodataka!$M$25,"",VLOOKUP(J9,Anuiteti!$B$13:$E$32,4,FALSE)+VLOOKUP(J9,Anuiteti!$B$13:$E$32,3,FALSE)))</f>
        <v>-20929.573525909494</v>
      </c>
      <c r="K23" s="3">
        <f>IF(K22="",0,IF(K9&gt;UnosPodataka!$M$25,"",VLOOKUP(K9,Anuiteti!$B$13:$E$32,4,FALSE)+VLOOKUP(K9,Anuiteti!$B$13:$E$32,3,FALSE)))</f>
        <v>0</v>
      </c>
      <c r="L23" s="3">
        <f>IF(L22="",0,IF(L9&gt;UnosPodataka!$M$25,"",VLOOKUP(L9,Anuiteti!$B$13:$E$32,4,FALSE)+VLOOKUP(L9,Anuiteti!$B$13:$E$32,3,FALSE)))</f>
        <v>0</v>
      </c>
      <c r="M23" s="3">
        <f>IF(M22="",0,IF(M9&gt;UnosPodataka!$M$25,"",VLOOKUP(M9,Anuiteti!$B$13:$E$32,4,FALSE)+VLOOKUP(M9,Anuiteti!$B$13:$E$32,3,FALSE)))</f>
        <v>0</v>
      </c>
      <c r="N23" s="3">
        <f>IF(N22="",0,IF(N9&gt;UnosPodataka!$M$25,"",VLOOKUP(N9,Anuiteti!$B$13:$E$32,4,FALSE)+VLOOKUP(N9,Anuiteti!$B$13:$E$32,3,FALSE)))</f>
        <v>0</v>
      </c>
      <c r="O23" s="3">
        <f>IF(O22="",0,IF(O9&gt;UnosPodataka!$M$25,"",VLOOKUP(O9,Anuiteti!$B$13:$E$32,4,FALSE)+VLOOKUP(O9,Anuiteti!$B$13:$E$32,3,FALSE)))</f>
        <v>0</v>
      </c>
      <c r="P23" s="3">
        <f>IF(P22="",0,IF(P9&gt;UnosPodataka!$M$25,"",VLOOKUP(P9,Anuiteti!$B$13:$E$32,4,FALSE)+VLOOKUP(P9,Anuiteti!$B$13:$E$32,3,FALSE)))</f>
        <v>0</v>
      </c>
      <c r="Q23" s="3">
        <f>IF(Q22="",0,IF(Q9&gt;UnosPodataka!$M$25,"",VLOOKUP(Q9,Anuiteti!$B$13:$E$32,4,FALSE)+VLOOKUP(Q9,Anuiteti!$B$13:$E$32,3,FALSE)))</f>
        <v>0</v>
      </c>
      <c r="R23" s="3">
        <f>IF(R22="",0,IF(R9&gt;UnosPodataka!$M$25,"",VLOOKUP(R9,Anuiteti!$B$13:$E$32,4,FALSE)+VLOOKUP(R9,Anuiteti!$B$13:$E$32,3,FALSE)))</f>
        <v>0</v>
      </c>
      <c r="S23" s="3">
        <f>IF(S22="",0,IF(S9&gt;UnosPodataka!$M$25,"",VLOOKUP(S9,Anuiteti!$B$13:$E$32,4,FALSE)+VLOOKUP(S9,Anuiteti!$B$13:$E$32,3,FALSE)))</f>
        <v>0</v>
      </c>
      <c r="T23" s="3">
        <f>IF(T22="",0,IF(T9&gt;UnosPodataka!$M$25,"",VLOOKUP(T9,Anuiteti!$B$13:$E$32,4,FALSE)+VLOOKUP(T9,Anuiteti!$B$13:$E$32,3,FALSE)))</f>
        <v>0</v>
      </c>
      <c r="U23" s="3">
        <f>IF(U22="",0,IF(U9&gt;UnosPodataka!$M$25,"",VLOOKUP(U9,Anuiteti!$B$13:$E$32,4,FALSE)+VLOOKUP(U9,Anuiteti!$B$13:$E$32,3,FALSE)))</f>
        <v>0</v>
      </c>
      <c r="V23" s="3">
        <f>IF(V22="",0,IF(V9&gt;UnosPodataka!$M$25,"",VLOOKUP(V9,Anuiteti!$B$13:$E$32,4,FALSE)+VLOOKUP(V9,Anuiteti!$B$13:$E$32,3,FALSE)))</f>
        <v>0</v>
      </c>
      <c r="W23" s="3">
        <f>IF(W22="",0,IF(W9&gt;UnosPodataka!$M$25,"",VLOOKUP(W9,Anuiteti!$B$13:$E$32,4,FALSE)+VLOOKUP(W9,Anuiteti!$B$13:$E$32,3,FALSE)))</f>
        <v>0</v>
      </c>
      <c r="X23" s="3">
        <f>IF(X22="",0,IF(X9&gt;UnosPodataka!$M$25,"",VLOOKUP(X9,Anuiteti!$B$13:$E$32,4,FALSE)+VLOOKUP(X9,Anuiteti!$B$13:$E$32,3,FALSE)))</f>
        <v>0</v>
      </c>
      <c r="Y23" s="3">
        <f>IF(Y22="",0,IF(Y9&gt;UnosPodataka!$M$25,"",VLOOKUP(Y9,Anuiteti!$B$13:$E$32,4,FALSE)+VLOOKUP(Y9,Anuiteti!$B$13:$E$32,3,FALSE)))</f>
        <v>0</v>
      </c>
    </row>
    <row r="24" spans="1:25" x14ac:dyDescent="0.25">
      <c r="A24" s="65" t="s">
        <v>89</v>
      </c>
      <c r="B24" s="65"/>
      <c r="C24" s="65"/>
      <c r="D24" s="65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65" t="s">
        <v>90</v>
      </c>
      <c r="B25" s="65"/>
      <c r="C25" s="65"/>
      <c r="D25" s="65"/>
      <c r="F25" s="3">
        <f>IF(F9&lt;&gt;"",-Investment*UnosPodataka!$M$11,"")</f>
        <v>-1372.5</v>
      </c>
      <c r="G25" s="3">
        <f>IF(G9&lt;&gt;"",-Investment*UnosPodataka!$M$11,"")</f>
        <v>-1372.5</v>
      </c>
      <c r="H25" s="3">
        <f>IF(H9&lt;&gt;"",-Investment*UnosPodataka!$M$11,"")</f>
        <v>-1372.5</v>
      </c>
      <c r="I25" s="3">
        <f>IF(I9&lt;&gt;"",-Investment*UnosPodataka!$M$11,"")</f>
        <v>-1372.5</v>
      </c>
      <c r="J25" s="3">
        <f>IF(J9&lt;&gt;"",-Investment*UnosPodataka!$M$11,"")</f>
        <v>-1372.5</v>
      </c>
      <c r="K25" s="3">
        <f>IF(K9&lt;&gt;"",-Investment*UnosPodataka!$M$11,"")</f>
        <v>-1372.5</v>
      </c>
      <c r="L25" s="3">
        <f>IF(L9&lt;&gt;"",-Investment*UnosPodataka!$M$11,"")</f>
        <v>-1372.5</v>
      </c>
      <c r="M25" s="3">
        <f>IF(M9&lt;&gt;"",-Investment*UnosPodataka!$M$11,"")</f>
        <v>-1372.5</v>
      </c>
      <c r="N25" s="3">
        <f>IF(N9&lt;&gt;"",-Investment*UnosPodataka!$M$11,"")</f>
        <v>-1372.5</v>
      </c>
      <c r="O25" s="3">
        <f>IF(O9&lt;&gt;"",-Investment*UnosPodataka!$M$11,"")</f>
        <v>-1372.5</v>
      </c>
      <c r="P25" s="3">
        <f>IF(P9&lt;&gt;"",-Investment*UnosPodataka!$M$11,"")</f>
        <v>-1372.5</v>
      </c>
      <c r="Q25" s="3">
        <f>IF(Q9&lt;&gt;"",-Investment*UnosPodataka!$M$11,"")</f>
        <v>-1372.5</v>
      </c>
      <c r="R25" s="3">
        <f>IF(R9&lt;&gt;"",-Investment*UnosPodataka!$M$11,"")</f>
        <v>-1372.5</v>
      </c>
      <c r="S25" s="3">
        <f>IF(S9&lt;&gt;"",-Investment*UnosPodataka!$M$11,"")</f>
        <v>-1372.5</v>
      </c>
      <c r="T25" s="3">
        <f>IF(T9&lt;&gt;"",-Investment*UnosPodataka!$M$11,"")</f>
        <v>-1372.5</v>
      </c>
      <c r="U25" s="3">
        <f>IF(U9&lt;&gt;"",-Investment*UnosPodataka!$M$11,"")</f>
        <v>-1372.5</v>
      </c>
      <c r="V25" s="3">
        <f>IF(V9&lt;&gt;"",-Investment*UnosPodataka!$M$11,"")</f>
        <v>-1372.5</v>
      </c>
      <c r="W25" s="3">
        <f>IF(W9&lt;&gt;"",-Investment*UnosPodataka!$M$11,"")</f>
        <v>-1372.5</v>
      </c>
      <c r="X25" s="3">
        <f>IF(X9&lt;&gt;"",-Investment*UnosPodataka!$M$11,"")</f>
        <v>-1372.5</v>
      </c>
      <c r="Y25" s="3">
        <f>IF(Y9&lt;&gt;"",-Investment*UnosPodataka!$M$11,"")</f>
        <v>-1372.5</v>
      </c>
    </row>
    <row r="26" spans="1:25" x14ac:dyDescent="0.25">
      <c r="A26" s="65" t="s">
        <v>91</v>
      </c>
      <c r="B26" s="65"/>
      <c r="C26" s="65"/>
      <c r="D26" s="65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x14ac:dyDescent="0.25">
      <c r="A27" s="65" t="s">
        <v>165</v>
      </c>
      <c r="B27" s="65"/>
      <c r="C27" s="65"/>
      <c r="D27" s="65"/>
      <c r="F27" s="3">
        <f>IF(F9&lt;&gt;"",-Investment*UnosPodataka!$M$12,"")</f>
        <v>-4575</v>
      </c>
      <c r="G27" s="3">
        <f>IF(G9&lt;&gt;"",-Investment*UnosPodataka!$M$12,"")</f>
        <v>-4575</v>
      </c>
      <c r="H27" s="3">
        <f>IF(H9&lt;&gt;"",-Investment*UnosPodataka!$M$12,"")</f>
        <v>-4575</v>
      </c>
      <c r="I27" s="3">
        <f>IF(I9&lt;&gt;"",-Investment*UnosPodataka!$M$12,"")</f>
        <v>-4575</v>
      </c>
      <c r="J27" s="3">
        <f>IF(J9&lt;&gt;"",-Investment*UnosPodataka!$M$12,"")</f>
        <v>-4575</v>
      </c>
      <c r="K27" s="3">
        <f>IF(K9&lt;&gt;"",-Investment*UnosPodataka!$M$12,"")</f>
        <v>-4575</v>
      </c>
      <c r="L27" s="3">
        <f>IF(L9&lt;&gt;"",-Investment*UnosPodataka!$M$12,"")</f>
        <v>-4575</v>
      </c>
      <c r="M27" s="3">
        <f>IF(M9&lt;&gt;"",-Investment*UnosPodataka!$M$12,"")</f>
        <v>-4575</v>
      </c>
      <c r="N27" s="3">
        <f>IF(N9&lt;&gt;"",-Investment*UnosPodataka!$M$12,"")</f>
        <v>-4575</v>
      </c>
      <c r="O27" s="3">
        <f>IF(O9&lt;&gt;"",-Investment*UnosPodataka!$M$12,"")</f>
        <v>-4575</v>
      </c>
      <c r="P27" s="3">
        <f>IF(P9&lt;&gt;"",-Investment*UnosPodataka!$M$12,"")</f>
        <v>-4575</v>
      </c>
      <c r="Q27" s="3">
        <f>IF(Q9&lt;&gt;"",-Investment*UnosPodataka!$M$12,"")</f>
        <v>-4575</v>
      </c>
      <c r="R27" s="3">
        <f>IF(R9&lt;&gt;"",-Investment*UnosPodataka!$M$12,"")</f>
        <v>-4575</v>
      </c>
      <c r="S27" s="3">
        <f>IF(S9&lt;&gt;"",-Investment*UnosPodataka!$M$12,"")</f>
        <v>-4575</v>
      </c>
      <c r="T27" s="3">
        <f>IF(T9&lt;&gt;"",-Investment*UnosPodataka!$M$12,"")</f>
        <v>-4575</v>
      </c>
      <c r="U27" s="3">
        <f>IF(U9&lt;&gt;"",-Investment*UnosPodataka!$M$12,"")</f>
        <v>-4575</v>
      </c>
      <c r="V27" s="3">
        <f>IF(V9&lt;&gt;"",-Investment*UnosPodataka!$M$12,"")</f>
        <v>-4575</v>
      </c>
      <c r="W27" s="3">
        <f>IF(W9&lt;&gt;"",-Investment*UnosPodataka!$M$12,"")</f>
        <v>-4575</v>
      </c>
      <c r="X27" s="3">
        <f>IF(X9&lt;&gt;"",-Investment*UnosPodataka!$M$12,"")</f>
        <v>-4575</v>
      </c>
      <c r="Y27" s="3"/>
    </row>
    <row r="28" spans="1:25" x14ac:dyDescent="0.25">
      <c r="A28" s="65" t="s">
        <v>92</v>
      </c>
      <c r="B28" s="65"/>
      <c r="C28" s="65"/>
      <c r="D28" s="65"/>
      <c r="F28" s="3">
        <f>IF(F9&lt;&gt;"",-(1-UnosPodataka!$M$10)*'FinInd+CO2'!F17,"")</f>
        <v>0</v>
      </c>
      <c r="G28" s="3">
        <f>IF(G9&lt;&gt;"",-(1-UnosPodataka!$M$10)*'FinInd+CO2'!G17,"")</f>
        <v>0</v>
      </c>
      <c r="H28" s="3">
        <f>IF(H9&lt;&gt;"",-(1-UnosPodataka!$M$10)*'FinInd+CO2'!H17,"")</f>
        <v>0</v>
      </c>
      <c r="I28" s="3">
        <f>IF(I9&lt;&gt;"",-(1-UnosPodataka!$M$10)*'FinInd+CO2'!I17,"")</f>
        <v>0</v>
      </c>
      <c r="J28" s="3">
        <f>IF(J9&lt;&gt;"",-(1-UnosPodataka!$M$10)*'FinInd+CO2'!J17,"")</f>
        <v>0</v>
      </c>
      <c r="K28" s="3">
        <f>IF(K9&lt;&gt;"",-(1-UnosPodataka!$M$10)*'FinInd+CO2'!K17,"")</f>
        <v>0</v>
      </c>
      <c r="L28" s="3">
        <f>IF(L9&lt;&gt;"",-(1-UnosPodataka!$M$10)*'FinInd+CO2'!L17,"")</f>
        <v>0</v>
      </c>
      <c r="M28" s="3">
        <f>IF(M9&lt;&gt;"",-(1-UnosPodataka!$M$10)*'FinInd+CO2'!M17,"")</f>
        <v>0</v>
      </c>
      <c r="N28" s="3">
        <f>IF(N9&lt;&gt;"",-(1-UnosPodataka!$M$10)*'FinInd+CO2'!N17,"")</f>
        <v>0</v>
      </c>
      <c r="O28" s="3">
        <f>IF(O9&lt;&gt;"",-(1-UnosPodataka!$M$10)*'FinInd+CO2'!O17,"")</f>
        <v>0</v>
      </c>
      <c r="P28" s="3">
        <f>IF(P9&lt;&gt;"",-(1-UnosPodataka!$M$10)*'FinInd+CO2'!P17,"")</f>
        <v>0</v>
      </c>
      <c r="Q28" s="3">
        <f>IF(Q9&lt;&gt;"",-(1-UnosPodataka!$M$10)*'FinInd+CO2'!Q17,"")</f>
        <v>0</v>
      </c>
      <c r="R28" s="3">
        <f>IF(R9&lt;&gt;"",-(1-UnosPodataka!$M$10)*'FinInd+CO2'!R17,"")</f>
        <v>0</v>
      </c>
      <c r="S28" s="3">
        <f>IF(S9&lt;&gt;"",-(1-UnosPodataka!$M$10)*'FinInd+CO2'!S17,"")</f>
        <v>0</v>
      </c>
      <c r="T28" s="3">
        <f>IF(T9&lt;&gt;"",-(1-UnosPodataka!$M$10)*'FinInd+CO2'!T17,"")</f>
        <v>0</v>
      </c>
      <c r="U28" s="3">
        <f>IF(U9&lt;&gt;"",-(1-UnosPodataka!$M$10)*'FinInd+CO2'!U17,"")</f>
        <v>0</v>
      </c>
      <c r="V28" s="3">
        <f>IF(V9&lt;&gt;"",-(1-UnosPodataka!$M$10)*'FinInd+CO2'!V17,"")</f>
        <v>0</v>
      </c>
      <c r="W28" s="3">
        <f>IF(W9&lt;&gt;"",-(1-UnosPodataka!$M$10)*'FinInd+CO2'!W17,"")</f>
        <v>0</v>
      </c>
      <c r="X28" s="3">
        <f>IF(X9&lt;&gt;"",-(1-UnosPodataka!$M$10)*'FinInd+CO2'!X17,"")</f>
        <v>0</v>
      </c>
      <c r="Y28" s="3">
        <f>IF(Y9&lt;&gt;"",-(1-UnosPodataka!$M$10)*'FinInd+CO2'!Y17,"")</f>
        <v>0</v>
      </c>
    </row>
    <row r="29" spans="1:25" x14ac:dyDescent="0.25">
      <c r="A29" s="70" t="s">
        <v>101</v>
      </c>
      <c r="B29" s="70"/>
      <c r="C29" s="70"/>
      <c r="D29" s="70"/>
      <c r="F29" s="3">
        <f t="shared" ref="F29:Y29" si="4">IF(F9&lt;&gt;"",SUM(F22:F28),"")</f>
        <v>-29488.622349018631</v>
      </c>
      <c r="G29" s="3">
        <f t="shared" si="4"/>
        <v>-29488.622349018631</v>
      </c>
      <c r="H29" s="3">
        <f t="shared" si="4"/>
        <v>-29488.622349018631</v>
      </c>
      <c r="I29" s="3">
        <f t="shared" si="4"/>
        <v>-29488.622349018631</v>
      </c>
      <c r="J29" s="3">
        <f t="shared" si="4"/>
        <v>-29488.622349018631</v>
      </c>
      <c r="K29" s="3">
        <f t="shared" si="4"/>
        <v>-6047.5</v>
      </c>
      <c r="L29" s="3">
        <f t="shared" si="4"/>
        <v>-6047.5</v>
      </c>
      <c r="M29" s="3">
        <f t="shared" si="4"/>
        <v>-6047.5</v>
      </c>
      <c r="N29" s="3">
        <f t="shared" si="4"/>
        <v>-6047.5</v>
      </c>
      <c r="O29" s="3">
        <f t="shared" si="4"/>
        <v>-6047.5</v>
      </c>
      <c r="P29" s="3">
        <f t="shared" si="4"/>
        <v>-6047.5</v>
      </c>
      <c r="Q29" s="3">
        <f t="shared" si="4"/>
        <v>-6047.5</v>
      </c>
      <c r="R29" s="3">
        <f t="shared" si="4"/>
        <v>-6047.5</v>
      </c>
      <c r="S29" s="3">
        <f t="shared" si="4"/>
        <v>-6047.5</v>
      </c>
      <c r="T29" s="3">
        <f t="shared" si="4"/>
        <v>-6047.5</v>
      </c>
      <c r="U29" s="3">
        <f t="shared" si="4"/>
        <v>-6047.5</v>
      </c>
      <c r="V29" s="3">
        <f t="shared" si="4"/>
        <v>-6047.5</v>
      </c>
      <c r="W29" s="3">
        <f t="shared" si="4"/>
        <v>-6047.5</v>
      </c>
      <c r="X29" s="3">
        <f t="shared" si="4"/>
        <v>-6047.5</v>
      </c>
      <c r="Y29" s="3">
        <f t="shared" si="4"/>
        <v>-1472.5</v>
      </c>
    </row>
    <row r="31" spans="1:25" x14ac:dyDescent="0.25">
      <c r="A31" t="s">
        <v>166</v>
      </c>
      <c r="E31" s="3">
        <f>-SUM(E11:E13)</f>
        <v>-91500</v>
      </c>
      <c r="F31" s="3">
        <f>+F29-F27-F34</f>
        <v>-27856.469013908296</v>
      </c>
      <c r="G31" s="3">
        <f t="shared" ref="G31:Y31" si="5">+G29-G27-G34</f>
        <v>-28095.889216190633</v>
      </c>
      <c r="H31" s="3">
        <f t="shared" si="5"/>
        <v>-28364.039842746846</v>
      </c>
      <c r="I31" s="3">
        <f t="shared" si="5"/>
        <v>-28664.368544489807</v>
      </c>
      <c r="J31" s="3">
        <f t="shared" si="5"/>
        <v>-29000.736690441925</v>
      </c>
      <c r="K31" s="3">
        <f t="shared" si="5"/>
        <v>-5936.3466648896647</v>
      </c>
      <c r="L31" s="3">
        <f t="shared" si="5"/>
        <v>-5936.3466648896647</v>
      </c>
      <c r="M31" s="3">
        <f t="shared" si="5"/>
        <v>-5936.3466648896647</v>
      </c>
      <c r="N31" s="3">
        <f t="shared" si="5"/>
        <v>-5936.3466648896647</v>
      </c>
      <c r="O31" s="3">
        <f t="shared" si="5"/>
        <v>-5936.3466648896647</v>
      </c>
      <c r="P31" s="3">
        <f t="shared" si="5"/>
        <v>-5936.3466648896647</v>
      </c>
      <c r="Q31" s="3">
        <f t="shared" si="5"/>
        <v>-5936.3466648896647</v>
      </c>
      <c r="R31" s="3">
        <f t="shared" si="5"/>
        <v>-5936.3466648896647</v>
      </c>
      <c r="S31" s="3">
        <f t="shared" si="5"/>
        <v>-5936.3466648896647</v>
      </c>
      <c r="T31" s="3">
        <f t="shared" si="5"/>
        <v>-5936.3466648896647</v>
      </c>
      <c r="U31" s="3">
        <f t="shared" si="5"/>
        <v>-5936.3466648896647</v>
      </c>
      <c r="V31" s="3">
        <f t="shared" si="5"/>
        <v>-5936.3466648896647</v>
      </c>
      <c r="W31" s="3">
        <f t="shared" si="5"/>
        <v>-5936.3466648896647</v>
      </c>
      <c r="X31" s="3">
        <f t="shared" si="5"/>
        <v>-5936.3466648896647</v>
      </c>
      <c r="Y31" s="3">
        <f t="shared" si="5"/>
        <v>-6622.5966648896647</v>
      </c>
    </row>
    <row r="32" spans="1:25" x14ac:dyDescent="0.25">
      <c r="A32" s="58" t="s">
        <v>167</v>
      </c>
      <c r="B32" s="58"/>
      <c r="C32" s="58"/>
      <c r="D32" s="58"/>
      <c r="F32" s="3">
        <f>IF(F9&lt;&gt;"",F19+F29-F23,"")</f>
        <v>19618.9777659311</v>
      </c>
      <c r="G32" s="3">
        <f t="shared" ref="G32:Y32" si="6">IF(G9&lt;&gt;"",G19+G29-G23,"")</f>
        <v>21215.112447813335</v>
      </c>
      <c r="H32" s="3">
        <f t="shared" si="6"/>
        <v>23002.783291521442</v>
      </c>
      <c r="I32" s="3">
        <f t="shared" si="6"/>
        <v>25004.974636474515</v>
      </c>
      <c r="J32" s="3">
        <f t="shared" si="6"/>
        <v>27247.428942821964</v>
      </c>
      <c r="K32" s="3">
        <f t="shared" si="6"/>
        <v>29758.9777659311</v>
      </c>
      <c r="L32" s="3">
        <f t="shared" si="6"/>
        <v>29758.9777659311</v>
      </c>
      <c r="M32" s="3">
        <f t="shared" si="6"/>
        <v>29758.9777659311</v>
      </c>
      <c r="N32" s="3">
        <f t="shared" si="6"/>
        <v>29758.9777659311</v>
      </c>
      <c r="O32" s="3">
        <f t="shared" si="6"/>
        <v>29758.9777659311</v>
      </c>
      <c r="P32" s="3">
        <f t="shared" si="6"/>
        <v>29758.9777659311</v>
      </c>
      <c r="Q32" s="3">
        <f t="shared" si="6"/>
        <v>29758.9777659311</v>
      </c>
      <c r="R32" s="3">
        <f t="shared" si="6"/>
        <v>29758.9777659311</v>
      </c>
      <c r="S32" s="3">
        <f t="shared" si="6"/>
        <v>29758.9777659311</v>
      </c>
      <c r="T32" s="3">
        <f t="shared" si="6"/>
        <v>29758.9777659311</v>
      </c>
      <c r="U32" s="3">
        <f t="shared" si="6"/>
        <v>29758.9777659311</v>
      </c>
      <c r="V32" s="3">
        <f t="shared" si="6"/>
        <v>29758.9777659311</v>
      </c>
      <c r="W32" s="3">
        <f t="shared" si="6"/>
        <v>29758.9777659311</v>
      </c>
      <c r="X32" s="3">
        <f t="shared" si="6"/>
        <v>29758.9777659311</v>
      </c>
      <c r="Y32" s="3">
        <f t="shared" si="6"/>
        <v>34333.9777659311</v>
      </c>
    </row>
    <row r="33" spans="1:25" x14ac:dyDescent="0.25">
      <c r="A33" s="71"/>
      <c r="B33" s="71"/>
      <c r="C33" s="71"/>
      <c r="D33" s="71"/>
    </row>
    <row r="34" spans="1:25" x14ac:dyDescent="0.25">
      <c r="A34" s="65" t="s">
        <v>94</v>
      </c>
      <c r="B34" s="65"/>
      <c r="C34" s="65"/>
      <c r="D34" s="65"/>
      <c r="F34" s="3">
        <f>IF(F9&lt;&gt;"",IF(F32&gt;0,F32*VAT,0),"")</f>
        <v>2942.8466648896651</v>
      </c>
      <c r="G34" s="3">
        <f t="shared" ref="G34:Y34" si="7">IF(G9&lt;&gt;"",IF(G32&gt;0,G32*VAT,0),"")</f>
        <v>3182.2668671720003</v>
      </c>
      <c r="H34" s="3">
        <f t="shared" si="7"/>
        <v>3450.4174937282164</v>
      </c>
      <c r="I34" s="3">
        <f t="shared" si="7"/>
        <v>3750.7461954711771</v>
      </c>
      <c r="J34" s="3">
        <f t="shared" si="7"/>
        <v>4087.1143414232943</v>
      </c>
      <c r="K34" s="3">
        <f t="shared" si="7"/>
        <v>4463.8466648896647</v>
      </c>
      <c r="L34" s="3">
        <f t="shared" si="7"/>
        <v>4463.8466648896647</v>
      </c>
      <c r="M34" s="3">
        <f t="shared" si="7"/>
        <v>4463.8466648896647</v>
      </c>
      <c r="N34" s="3">
        <f t="shared" si="7"/>
        <v>4463.8466648896647</v>
      </c>
      <c r="O34" s="3">
        <f t="shared" si="7"/>
        <v>4463.8466648896647</v>
      </c>
      <c r="P34" s="3">
        <f t="shared" si="7"/>
        <v>4463.8466648896647</v>
      </c>
      <c r="Q34" s="3">
        <f t="shared" si="7"/>
        <v>4463.8466648896647</v>
      </c>
      <c r="R34" s="3">
        <f t="shared" si="7"/>
        <v>4463.8466648896647</v>
      </c>
      <c r="S34" s="3">
        <f t="shared" si="7"/>
        <v>4463.8466648896647</v>
      </c>
      <c r="T34" s="3">
        <f t="shared" si="7"/>
        <v>4463.8466648896647</v>
      </c>
      <c r="U34" s="3">
        <f t="shared" si="7"/>
        <v>4463.8466648896647</v>
      </c>
      <c r="V34" s="3">
        <f t="shared" si="7"/>
        <v>4463.8466648896647</v>
      </c>
      <c r="W34" s="3">
        <f t="shared" si="7"/>
        <v>4463.8466648896647</v>
      </c>
      <c r="X34" s="3">
        <f t="shared" si="7"/>
        <v>4463.8466648896647</v>
      </c>
      <c r="Y34" s="3">
        <f t="shared" si="7"/>
        <v>5150.0966648896647</v>
      </c>
    </row>
    <row r="35" spans="1:25" x14ac:dyDescent="0.25">
      <c r="A35" s="58" t="s">
        <v>95</v>
      </c>
      <c r="B35" s="58"/>
      <c r="C35" s="58"/>
      <c r="D35" s="58"/>
      <c r="E35" s="3"/>
      <c r="F35" s="3">
        <f>IF(F9&lt;&gt;"",F32-F34,"")</f>
        <v>16676.131101041436</v>
      </c>
      <c r="G35" s="3">
        <f t="shared" ref="G35:Y35" si="8">IF(G9&lt;&gt;"",G32-G34,"")</f>
        <v>18032.845580641333</v>
      </c>
      <c r="H35" s="3">
        <f t="shared" si="8"/>
        <v>19552.365797793227</v>
      </c>
      <c r="I35" s="3">
        <f t="shared" si="8"/>
        <v>21254.228441003339</v>
      </c>
      <c r="J35" s="3">
        <f t="shared" si="8"/>
        <v>23160.31460139867</v>
      </c>
      <c r="K35" s="3">
        <f t="shared" si="8"/>
        <v>25295.131101041436</v>
      </c>
      <c r="L35" s="3">
        <f t="shared" si="8"/>
        <v>25295.131101041436</v>
      </c>
      <c r="M35" s="3">
        <f t="shared" si="8"/>
        <v>25295.131101041436</v>
      </c>
      <c r="N35" s="3">
        <f t="shared" si="8"/>
        <v>25295.131101041436</v>
      </c>
      <c r="O35" s="3">
        <f t="shared" si="8"/>
        <v>25295.131101041436</v>
      </c>
      <c r="P35" s="3">
        <f t="shared" si="8"/>
        <v>25295.131101041436</v>
      </c>
      <c r="Q35" s="3">
        <f t="shared" si="8"/>
        <v>25295.131101041436</v>
      </c>
      <c r="R35" s="3">
        <f t="shared" si="8"/>
        <v>25295.131101041436</v>
      </c>
      <c r="S35" s="3">
        <f t="shared" si="8"/>
        <v>25295.131101041436</v>
      </c>
      <c r="T35" s="3">
        <f t="shared" si="8"/>
        <v>25295.131101041436</v>
      </c>
      <c r="U35" s="3">
        <f t="shared" si="8"/>
        <v>25295.131101041436</v>
      </c>
      <c r="V35" s="3">
        <f t="shared" si="8"/>
        <v>25295.131101041436</v>
      </c>
      <c r="W35" s="3">
        <f t="shared" si="8"/>
        <v>25295.131101041436</v>
      </c>
      <c r="X35" s="3">
        <f t="shared" si="8"/>
        <v>25295.131101041436</v>
      </c>
      <c r="Y35" s="3">
        <f t="shared" si="8"/>
        <v>29183.881101041436</v>
      </c>
    </row>
    <row r="37" spans="1:25" x14ac:dyDescent="0.25">
      <c r="A37" s="34" t="s">
        <v>176</v>
      </c>
      <c r="E37" s="3">
        <f>-SUM(E11:E13)</f>
        <v>-91500</v>
      </c>
      <c r="F37" s="3">
        <f>+F19+F31-F34</f>
        <v>5007.1620871331397</v>
      </c>
      <c r="G37" s="3">
        <f t="shared" ref="G37:Y37" si="9">+G19+G31-G34</f>
        <v>4528.3216825684667</v>
      </c>
      <c r="H37" s="3">
        <f t="shared" si="9"/>
        <v>3992.0204294560376</v>
      </c>
      <c r="I37" s="3">
        <f t="shared" si="9"/>
        <v>3391.3630259701158</v>
      </c>
      <c r="J37" s="3">
        <f t="shared" si="9"/>
        <v>2718.626734065881</v>
      </c>
      <c r="K37" s="3">
        <f t="shared" si="9"/>
        <v>25406.284436151771</v>
      </c>
      <c r="L37" s="3">
        <f t="shared" si="9"/>
        <v>25406.284436151771</v>
      </c>
      <c r="M37" s="3">
        <f t="shared" si="9"/>
        <v>25406.284436151771</v>
      </c>
      <c r="N37" s="3">
        <f t="shared" si="9"/>
        <v>25406.284436151771</v>
      </c>
      <c r="O37" s="3">
        <f t="shared" si="9"/>
        <v>25406.284436151771</v>
      </c>
      <c r="P37" s="3">
        <f t="shared" si="9"/>
        <v>25406.284436151771</v>
      </c>
      <c r="Q37" s="3">
        <f t="shared" si="9"/>
        <v>25406.284436151771</v>
      </c>
      <c r="R37" s="3">
        <f t="shared" si="9"/>
        <v>25406.284436151771</v>
      </c>
      <c r="S37" s="3">
        <f t="shared" si="9"/>
        <v>25406.284436151771</v>
      </c>
      <c r="T37" s="3">
        <f t="shared" si="9"/>
        <v>25406.284436151771</v>
      </c>
      <c r="U37" s="3">
        <f t="shared" si="9"/>
        <v>25406.284436151771</v>
      </c>
      <c r="V37" s="3">
        <f t="shared" si="9"/>
        <v>25406.284436151771</v>
      </c>
      <c r="W37" s="3">
        <f t="shared" si="9"/>
        <v>25406.284436151771</v>
      </c>
      <c r="X37" s="3">
        <f t="shared" si="9"/>
        <v>25406.284436151771</v>
      </c>
      <c r="Y37" s="3">
        <f t="shared" si="9"/>
        <v>24033.784436151771</v>
      </c>
    </row>
    <row r="38" spans="1:25" x14ac:dyDescent="0.25">
      <c r="A38" s="34" t="s">
        <v>177</v>
      </c>
      <c r="E38" s="3">
        <f>+E37</f>
        <v>-91500</v>
      </c>
      <c r="F38" s="3">
        <f>+E38+F37</f>
        <v>-86492.83791286686</v>
      </c>
      <c r="G38" s="3">
        <f t="shared" ref="G38:Y38" si="10">+F38+G37</f>
        <v>-81964.516230298395</v>
      </c>
      <c r="H38" s="3">
        <f t="shared" si="10"/>
        <v>-77972.495800842356</v>
      </c>
      <c r="I38" s="3">
        <f t="shared" si="10"/>
        <v>-74581.13277487224</v>
      </c>
      <c r="J38" s="3">
        <f t="shared" si="10"/>
        <v>-71862.506040806358</v>
      </c>
      <c r="K38" s="3">
        <f t="shared" si="10"/>
        <v>-46456.221604654587</v>
      </c>
      <c r="L38" s="3">
        <f t="shared" si="10"/>
        <v>-21049.937168502816</v>
      </c>
      <c r="M38" s="3">
        <f t="shared" si="10"/>
        <v>4356.3472676489546</v>
      </c>
      <c r="N38" s="3">
        <f t="shared" si="10"/>
        <v>29762.631703800726</v>
      </c>
      <c r="O38" s="3">
        <f t="shared" si="10"/>
        <v>55168.916139952496</v>
      </c>
      <c r="P38" s="3">
        <f t="shared" si="10"/>
        <v>80575.200576104267</v>
      </c>
      <c r="Q38" s="3">
        <f t="shared" si="10"/>
        <v>105981.48501225605</v>
      </c>
      <c r="R38" s="3">
        <f t="shared" si="10"/>
        <v>131387.76944840781</v>
      </c>
      <c r="S38" s="3">
        <f t="shared" si="10"/>
        <v>156794.05388455957</v>
      </c>
      <c r="T38" s="3">
        <f t="shared" si="10"/>
        <v>182200.33832071134</v>
      </c>
      <c r="U38" s="3">
        <f t="shared" si="10"/>
        <v>207606.6227568631</v>
      </c>
      <c r="V38" s="3">
        <f t="shared" si="10"/>
        <v>233012.90719301486</v>
      </c>
      <c r="W38" s="3">
        <f t="shared" si="10"/>
        <v>258419.19162916663</v>
      </c>
      <c r="X38" s="3">
        <f t="shared" si="10"/>
        <v>283825.47606531839</v>
      </c>
      <c r="Y38" s="3">
        <f t="shared" si="10"/>
        <v>307859.26050147018</v>
      </c>
    </row>
    <row r="39" spans="1:25" x14ac:dyDescent="0.25">
      <c r="A39" s="18"/>
    </row>
    <row r="40" spans="1:25" x14ac:dyDescent="0.25">
      <c r="A40" s="34" t="s">
        <v>61</v>
      </c>
      <c r="E40" s="7">
        <f>+PomTab1!L25</f>
        <v>0.11527978142076503</v>
      </c>
    </row>
    <row r="41" spans="1:25" x14ac:dyDescent="0.25">
      <c r="A41" s="34" t="s">
        <v>178</v>
      </c>
      <c r="E41" s="3">
        <f>IF(E9&lt;&gt;"",E37*(1+$E$40)^-E9,"")</f>
        <v>-91500</v>
      </c>
      <c r="F41" s="3">
        <f>IF(F9&lt;&gt;"",F37*(1+$E$40)^-F9,"")</f>
        <v>4489.6017757575328</v>
      </c>
      <c r="G41" s="3">
        <f t="shared" ref="G41:Y41" si="11">IF(G9&lt;&gt;"",G37*(1+$E$40)^-G9,"")</f>
        <v>3640.5718989157408</v>
      </c>
      <c r="H41" s="3">
        <f t="shared" si="11"/>
        <v>2877.6718465287145</v>
      </c>
      <c r="I41" s="3">
        <f t="shared" si="11"/>
        <v>2191.9919995386181</v>
      </c>
      <c r="J41" s="3">
        <f t="shared" si="11"/>
        <v>1575.5436435837591</v>
      </c>
      <c r="K41" s="3">
        <f t="shared" si="11"/>
        <v>13201.952975099033</v>
      </c>
      <c r="L41" s="3">
        <f t="shared" si="11"/>
        <v>11837.346282993623</v>
      </c>
      <c r="M41" s="3">
        <f t="shared" si="11"/>
        <v>10613.790799573108</v>
      </c>
      <c r="N41" s="3">
        <f t="shared" si="11"/>
        <v>9516.7069074381525</v>
      </c>
      <c r="O41" s="3">
        <f t="shared" si="11"/>
        <v>8533.0219967896592</v>
      </c>
      <c r="P41" s="3">
        <f t="shared" si="11"/>
        <v>7651.0146950923508</v>
      </c>
      <c r="Q41" s="3">
        <f t="shared" si="11"/>
        <v>6860.175197783693</v>
      </c>
      <c r="R41" s="3">
        <f t="shared" si="11"/>
        <v>6151.0800357596845</v>
      </c>
      <c r="S41" s="3">
        <f t="shared" si="11"/>
        <v>5515.2797873944846</v>
      </c>
      <c r="T41" s="3">
        <f t="shared" si="11"/>
        <v>4945.1983970950496</v>
      </c>
      <c r="U41" s="3">
        <f t="shared" si="11"/>
        <v>4434.0429006928789</v>
      </c>
      <c r="V41" s="3">
        <f t="shared" si="11"/>
        <v>3975.7224819805401</v>
      </c>
      <c r="W41" s="3">
        <f t="shared" si="11"/>
        <v>3564.7758958885015</v>
      </c>
      <c r="X41" s="3">
        <f t="shared" si="11"/>
        <v>3196.3063934928518</v>
      </c>
      <c r="Y41" s="3">
        <f t="shared" si="11"/>
        <v>2711.1002689415718</v>
      </c>
    </row>
    <row r="42" spans="1:25" x14ac:dyDescent="0.25">
      <c r="A42" s="34" t="s">
        <v>179</v>
      </c>
      <c r="E42" s="3">
        <f>+E41</f>
        <v>-91500</v>
      </c>
      <c r="F42" s="3">
        <f>+E42+F41</f>
        <v>-87010.398224242468</v>
      </c>
      <c r="G42" s="3">
        <f t="shared" ref="G42:Y42" si="12">+F42+G41</f>
        <v>-83369.826325326721</v>
      </c>
      <c r="H42" s="3">
        <f t="shared" si="12"/>
        <v>-80492.154478798009</v>
      </c>
      <c r="I42" s="3">
        <f t="shared" si="12"/>
        <v>-78300.162479259394</v>
      </c>
      <c r="J42" s="3">
        <f t="shared" si="12"/>
        <v>-76724.618835675632</v>
      </c>
      <c r="K42" s="3">
        <f t="shared" si="12"/>
        <v>-63522.665860576599</v>
      </c>
      <c r="L42" s="3">
        <f t="shared" si="12"/>
        <v>-51685.319577582974</v>
      </c>
      <c r="M42" s="3">
        <f t="shared" si="12"/>
        <v>-41071.528778009866</v>
      </c>
      <c r="N42" s="3">
        <f t="shared" si="12"/>
        <v>-31554.821870571715</v>
      </c>
      <c r="O42" s="3">
        <f t="shared" si="12"/>
        <v>-23021.799873782056</v>
      </c>
      <c r="P42" s="3">
        <f t="shared" si="12"/>
        <v>-15370.785178689704</v>
      </c>
      <c r="Q42" s="3">
        <f t="shared" si="12"/>
        <v>-8510.6099809060106</v>
      </c>
      <c r="R42" s="3">
        <f t="shared" si="12"/>
        <v>-2359.5299451463261</v>
      </c>
      <c r="S42" s="3">
        <f t="shared" si="12"/>
        <v>3155.7498422481585</v>
      </c>
      <c r="T42" s="3">
        <f t="shared" si="12"/>
        <v>8100.9482393432081</v>
      </c>
      <c r="U42" s="3">
        <f t="shared" si="12"/>
        <v>12534.991140036087</v>
      </c>
      <c r="V42" s="3">
        <f t="shared" si="12"/>
        <v>16510.713622016629</v>
      </c>
      <c r="W42" s="3">
        <f t="shared" si="12"/>
        <v>20075.489517905131</v>
      </c>
      <c r="X42" s="3">
        <f t="shared" si="12"/>
        <v>23271.795911397981</v>
      </c>
      <c r="Y42" s="3">
        <f t="shared" si="12"/>
        <v>25982.896180339554</v>
      </c>
    </row>
    <row r="43" spans="1:25" x14ac:dyDescent="0.25">
      <c r="A43" s="34"/>
    </row>
    <row r="44" spans="1:25" x14ac:dyDescent="0.25">
      <c r="A44" s="35" t="s">
        <v>180</v>
      </c>
      <c r="E44" s="36">
        <f>+NPV(E40,E37:Y37)</f>
        <v>23297.200050770825</v>
      </c>
      <c r="F44" s="37"/>
    </row>
    <row r="45" spans="1:25" x14ac:dyDescent="0.25">
      <c r="A45" s="35" t="s">
        <v>181</v>
      </c>
      <c r="E45" s="38">
        <f>+IRR(E37:Y37,10)</f>
        <v>0.14446677953050258</v>
      </c>
      <c r="F45" s="37"/>
    </row>
    <row r="46" spans="1:25" x14ac:dyDescent="0.25">
      <c r="A46" s="35" t="s">
        <v>182</v>
      </c>
      <c r="E46" s="36" cm="1">
        <f t="array" ref="E46">+NPV(E40,E19:Y19/-NPV(E40,E31:Y31))</f>
        <v>1.2585449064204957</v>
      </c>
      <c r="F46" s="37"/>
    </row>
    <row r="47" spans="1:25" x14ac:dyDescent="0.25">
      <c r="A47" s="35" t="s">
        <v>183</v>
      </c>
      <c r="E47" s="37" cm="1">
        <f t="array" ref="E47">+LOOKUP(INDEX(E38:Y38,MATCH(TRUE,E38:Y38&gt;0,0)),E38:Y38,E9:Y9)</f>
        <v>8</v>
      </c>
      <c r="F47" s="37" t="s">
        <v>185</v>
      </c>
    </row>
    <row r="48" spans="1:25" x14ac:dyDescent="0.25">
      <c r="A48" s="35" t="s">
        <v>184</v>
      </c>
      <c r="E48" s="37" cm="1">
        <f t="array" ref="E48">+LOOKUP(INDEX(E42:Y42,MATCH(TRUE,E42:Y42&gt;0,0)),E42:Y42,E9:Y9)</f>
        <v>14</v>
      </c>
      <c r="F48" s="37" t="s">
        <v>185</v>
      </c>
    </row>
    <row r="51" spans="1:26" x14ac:dyDescent="0.25">
      <c r="A51" s="22" t="s">
        <v>168</v>
      </c>
      <c r="B51" s="22"/>
      <c r="C51" s="22"/>
      <c r="D51" s="22"/>
      <c r="E51" s="3">
        <f>IF(E9&lt;&gt;"",E31,"")</f>
        <v>-91500</v>
      </c>
      <c r="F51" s="3">
        <f>IF(F9&lt;&gt;"",F31,"")</f>
        <v>-27856.469013908296</v>
      </c>
      <c r="G51" s="3">
        <f t="shared" ref="G51:Y51" si="13">IF(G9&lt;&gt;"",G31,"")</f>
        <v>-28095.889216190633</v>
      </c>
      <c r="H51" s="3">
        <f t="shared" si="13"/>
        <v>-28364.039842746846</v>
      </c>
      <c r="I51" s="3">
        <f t="shared" si="13"/>
        <v>-28664.368544489807</v>
      </c>
      <c r="J51" s="3">
        <f t="shared" si="13"/>
        <v>-29000.736690441925</v>
      </c>
      <c r="K51" s="3">
        <f t="shared" si="13"/>
        <v>-5936.3466648896647</v>
      </c>
      <c r="L51" s="3">
        <f t="shared" si="13"/>
        <v>-5936.3466648896647</v>
      </c>
      <c r="M51" s="3">
        <f t="shared" si="13"/>
        <v>-5936.3466648896647</v>
      </c>
      <c r="N51" s="3">
        <f t="shared" si="13"/>
        <v>-5936.3466648896647</v>
      </c>
      <c r="O51" s="3">
        <f t="shared" si="13"/>
        <v>-5936.3466648896647</v>
      </c>
      <c r="P51" s="3">
        <f t="shared" si="13"/>
        <v>-5936.3466648896647</v>
      </c>
      <c r="Q51" s="3">
        <f t="shared" si="13"/>
        <v>-5936.3466648896647</v>
      </c>
      <c r="R51" s="3">
        <f t="shared" si="13"/>
        <v>-5936.3466648896647</v>
      </c>
      <c r="S51" s="3">
        <f t="shared" si="13"/>
        <v>-5936.3466648896647</v>
      </c>
      <c r="T51" s="3">
        <f t="shared" si="13"/>
        <v>-5936.3466648896647</v>
      </c>
      <c r="U51" s="3">
        <f t="shared" si="13"/>
        <v>-5936.3466648896647</v>
      </c>
      <c r="V51" s="3">
        <f t="shared" si="13"/>
        <v>-5936.3466648896647</v>
      </c>
      <c r="W51" s="3">
        <f t="shared" si="13"/>
        <v>-5936.3466648896647</v>
      </c>
      <c r="X51" s="3">
        <f t="shared" si="13"/>
        <v>-5936.3466648896647</v>
      </c>
      <c r="Y51" s="3">
        <f t="shared" si="13"/>
        <v>-6622.5966648896647</v>
      </c>
      <c r="Z51" s="3"/>
    </row>
    <row r="52" spans="1:26" x14ac:dyDescent="0.25">
      <c r="A52" s="22" t="s">
        <v>169</v>
      </c>
      <c r="B52" s="22"/>
      <c r="C52" s="22"/>
      <c r="D52" s="22"/>
      <c r="E52" s="3">
        <f>IF(E9&lt;&gt;"",E51*(1+$E$40)^-E9,"")</f>
        <v>-91500</v>
      </c>
      <c r="F52" s="3">
        <f>IF(F9&lt;&gt;"",F51*(1+$E$40)^-F9,"")</f>
        <v>-24977.112898452877</v>
      </c>
      <c r="G52" s="3">
        <f t="shared" ref="G52:Y52" si="14">IF(G9&lt;&gt;"",G51*(1+$E$40)^-G9,"")</f>
        <v>-22587.861889152991</v>
      </c>
      <c r="H52" s="3">
        <f t="shared" si="14"/>
        <v>-20446.388076328909</v>
      </c>
      <c r="I52" s="3">
        <f t="shared" si="14"/>
        <v>-18527.083665239483</v>
      </c>
      <c r="J52" s="3">
        <f t="shared" si="14"/>
        <v>-16806.987799879709</v>
      </c>
      <c r="K52" s="3">
        <f t="shared" si="14"/>
        <v>-3084.7237702432831</v>
      </c>
      <c r="L52" s="3">
        <f t="shared" si="14"/>
        <v>-2765.874376664146</v>
      </c>
      <c r="M52" s="3">
        <f t="shared" si="14"/>
        <v>-2479.982532401576</v>
      </c>
      <c r="N52" s="3">
        <f t="shared" si="14"/>
        <v>-2223.6416132661384</v>
      </c>
      <c r="O52" s="3">
        <f t="shared" si="14"/>
        <v>-1993.7971173775079</v>
      </c>
      <c r="P52" s="3">
        <f t="shared" si="14"/>
        <v>-1787.7102683934531</v>
      </c>
      <c r="Q52" s="3">
        <f t="shared" si="14"/>
        <v>-1602.9253808547239</v>
      </c>
      <c r="R52" s="3">
        <f t="shared" si="14"/>
        <v>-1437.24059877849</v>
      </c>
      <c r="S52" s="3">
        <f t="shared" si="14"/>
        <v>-1288.6816588278648</v>
      </c>
      <c r="T52" s="3">
        <f t="shared" si="14"/>
        <v>-1155.4783654252224</v>
      </c>
      <c r="U52" s="3">
        <f t="shared" si="14"/>
        <v>-1036.0434974919458</v>
      </c>
      <c r="V52" s="3">
        <f t="shared" si="14"/>
        <v>-928.95389547196874</v>
      </c>
      <c r="W52" s="3">
        <f t="shared" si="14"/>
        <v>-832.93350327625046</v>
      </c>
      <c r="X52" s="3">
        <f t="shared" si="14"/>
        <v>-746.83816307973314</v>
      </c>
      <c r="Y52" s="3">
        <f t="shared" si="14"/>
        <v>-747.05353403547292</v>
      </c>
      <c r="Z52" s="3"/>
    </row>
    <row r="53" spans="1:26" x14ac:dyDescent="0.25">
      <c r="A53" s="22" t="s">
        <v>170</v>
      </c>
      <c r="B53" s="22"/>
      <c r="C53" s="22"/>
      <c r="D53" s="22"/>
      <c r="E53" s="3">
        <f>+E52</f>
        <v>-91500</v>
      </c>
      <c r="F53" s="3">
        <f>+E53+F52</f>
        <v>-116477.11289845288</v>
      </c>
      <c r="G53" s="3">
        <f t="shared" ref="G53:Y53" si="15">+F53+G52</f>
        <v>-139064.97478760587</v>
      </c>
      <c r="H53" s="3">
        <f t="shared" si="15"/>
        <v>-159511.36286393477</v>
      </c>
      <c r="I53" s="3">
        <f t="shared" si="15"/>
        <v>-178038.44652917425</v>
      </c>
      <c r="J53" s="3">
        <f t="shared" si="15"/>
        <v>-194845.43432905397</v>
      </c>
      <c r="K53" s="3">
        <f t="shared" si="15"/>
        <v>-197930.15809929726</v>
      </c>
      <c r="L53" s="3">
        <f t="shared" si="15"/>
        <v>-200696.0324759614</v>
      </c>
      <c r="M53" s="3">
        <f t="shared" si="15"/>
        <v>-203176.01500836297</v>
      </c>
      <c r="N53" s="3">
        <f t="shared" si="15"/>
        <v>-205399.65662162911</v>
      </c>
      <c r="O53" s="3">
        <f t="shared" si="15"/>
        <v>-207393.45373900663</v>
      </c>
      <c r="P53" s="3">
        <f t="shared" si="15"/>
        <v>-209181.16400740008</v>
      </c>
      <c r="Q53" s="3">
        <f t="shared" si="15"/>
        <v>-210784.0893882548</v>
      </c>
      <c r="R53" s="3">
        <f t="shared" si="15"/>
        <v>-212221.3299870333</v>
      </c>
      <c r="S53" s="3">
        <f t="shared" si="15"/>
        <v>-213510.01164586117</v>
      </c>
      <c r="T53" s="3">
        <f t="shared" si="15"/>
        <v>-214665.4900112864</v>
      </c>
      <c r="U53" s="3">
        <f t="shared" si="15"/>
        <v>-215701.53350877835</v>
      </c>
      <c r="V53" s="3">
        <f t="shared" si="15"/>
        <v>-216630.48740425031</v>
      </c>
      <c r="W53" s="3">
        <f t="shared" si="15"/>
        <v>-217463.42090752657</v>
      </c>
      <c r="X53" s="3">
        <f t="shared" si="15"/>
        <v>-218210.25907060629</v>
      </c>
      <c r="Y53" s="3">
        <f t="shared" si="15"/>
        <v>-218957.31260464177</v>
      </c>
    </row>
    <row r="54" spans="1:26" x14ac:dyDescent="0.25">
      <c r="A54" s="22" t="s">
        <v>171</v>
      </c>
      <c r="B54" s="22"/>
      <c r="C54" s="22"/>
      <c r="D54" s="22"/>
      <c r="F54" s="3">
        <f t="shared" ref="F54:Y54" si="16">IF(F9&lt;&gt;"",F19,"")</f>
        <v>35806.4777659311</v>
      </c>
      <c r="G54" s="3">
        <f t="shared" si="16"/>
        <v>35806.4777659311</v>
      </c>
      <c r="H54" s="3">
        <f t="shared" si="16"/>
        <v>35806.4777659311</v>
      </c>
      <c r="I54" s="3">
        <f t="shared" si="16"/>
        <v>35806.4777659311</v>
      </c>
      <c r="J54" s="3">
        <f t="shared" si="16"/>
        <v>35806.4777659311</v>
      </c>
      <c r="K54" s="3">
        <f t="shared" si="16"/>
        <v>35806.4777659311</v>
      </c>
      <c r="L54" s="3">
        <f t="shared" si="16"/>
        <v>35806.4777659311</v>
      </c>
      <c r="M54" s="3">
        <f t="shared" si="16"/>
        <v>35806.4777659311</v>
      </c>
      <c r="N54" s="3">
        <f t="shared" si="16"/>
        <v>35806.4777659311</v>
      </c>
      <c r="O54" s="3">
        <f t="shared" si="16"/>
        <v>35806.4777659311</v>
      </c>
      <c r="P54" s="3">
        <f t="shared" si="16"/>
        <v>35806.4777659311</v>
      </c>
      <c r="Q54" s="3">
        <f t="shared" si="16"/>
        <v>35806.4777659311</v>
      </c>
      <c r="R54" s="3">
        <f t="shared" si="16"/>
        <v>35806.4777659311</v>
      </c>
      <c r="S54" s="3">
        <f t="shared" si="16"/>
        <v>35806.4777659311</v>
      </c>
      <c r="T54" s="3">
        <f t="shared" si="16"/>
        <v>35806.4777659311</v>
      </c>
      <c r="U54" s="3">
        <f t="shared" si="16"/>
        <v>35806.4777659311</v>
      </c>
      <c r="V54" s="3">
        <f t="shared" si="16"/>
        <v>35806.4777659311</v>
      </c>
      <c r="W54" s="3">
        <f t="shared" si="16"/>
        <v>35806.4777659311</v>
      </c>
      <c r="X54" s="3">
        <f t="shared" si="16"/>
        <v>35806.4777659311</v>
      </c>
      <c r="Y54" s="3">
        <f t="shared" si="16"/>
        <v>35806.4777659311</v>
      </c>
    </row>
    <row r="55" spans="1:26" x14ac:dyDescent="0.25">
      <c r="A55" s="22" t="s">
        <v>172</v>
      </c>
      <c r="B55" s="22"/>
      <c r="C55" s="22"/>
      <c r="D55" s="22"/>
      <c r="F55" s="3">
        <f>IF(F9&lt;&gt;"",F54*(1+$E$40)^-F9,"")</f>
        <v>32105.376930905088</v>
      </c>
      <c r="G55" s="3">
        <f t="shared" ref="G55:Y55" si="17">IF(G9&lt;&gt;"",G54*(1+$E$40)^-G9,"")</f>
        <v>28786.83668953969</v>
      </c>
      <c r="H55" s="3">
        <f t="shared" si="17"/>
        <v>25811.3140479135</v>
      </c>
      <c r="I55" s="3">
        <f t="shared" si="17"/>
        <v>23143.353334203039</v>
      </c>
      <c r="J55" s="3">
        <f t="shared" si="17"/>
        <v>20751.163716713763</v>
      </c>
      <c r="K55" s="3">
        <f t="shared" si="17"/>
        <v>18606.240391338095</v>
      </c>
      <c r="L55" s="3">
        <f t="shared" si="17"/>
        <v>16683.024924593752</v>
      </c>
      <c r="M55" s="3">
        <f t="shared" si="17"/>
        <v>14958.600704964896</v>
      </c>
      <c r="N55" s="3">
        <f t="shared" si="17"/>
        <v>13412.419873611443</v>
      </c>
      <c r="O55" s="3">
        <f t="shared" si="17"/>
        <v>12026.058480613035</v>
      </c>
      <c r="P55" s="3">
        <f t="shared" si="17"/>
        <v>10782.996949243468</v>
      </c>
      <c r="Q55" s="3">
        <f t="shared" si="17"/>
        <v>9668.4232323362939</v>
      </c>
      <c r="R55" s="3">
        <f t="shared" si="17"/>
        <v>8669.056315196176</v>
      </c>
      <c r="S55" s="3">
        <f t="shared" si="17"/>
        <v>7772.9879619556868</v>
      </c>
      <c r="T55" s="3">
        <f t="shared" si="17"/>
        <v>6969.5408196619555</v>
      </c>
      <c r="U55" s="3">
        <f t="shared" si="17"/>
        <v>6249.1411892927836</v>
      </c>
      <c r="V55" s="3">
        <f t="shared" si="17"/>
        <v>5603.2049476696729</v>
      </c>
      <c r="W55" s="3">
        <f t="shared" si="17"/>
        <v>5024.0352609384699</v>
      </c>
      <c r="X55" s="3">
        <f t="shared" si="17"/>
        <v>4504.7308707939683</v>
      </c>
      <c r="Y55" s="3">
        <f t="shared" si="17"/>
        <v>4039.1038606073812</v>
      </c>
    </row>
    <row r="56" spans="1:26" x14ac:dyDescent="0.25">
      <c r="A56" s="22" t="s">
        <v>173</v>
      </c>
      <c r="B56" s="22"/>
      <c r="C56" s="22"/>
      <c r="D56" s="22"/>
      <c r="F56" s="3">
        <f>+E56+F55</f>
        <v>32105.376930905088</v>
      </c>
      <c r="G56" s="3">
        <f t="shared" ref="G56:Y56" si="18">+F56+G55</f>
        <v>60892.213620444774</v>
      </c>
      <c r="H56" s="3">
        <f t="shared" si="18"/>
        <v>86703.527668358278</v>
      </c>
      <c r="I56" s="3">
        <f t="shared" si="18"/>
        <v>109846.88100256132</v>
      </c>
      <c r="J56" s="3">
        <f t="shared" si="18"/>
        <v>130598.04471927509</v>
      </c>
      <c r="K56" s="3">
        <f t="shared" si="18"/>
        <v>149204.28511061319</v>
      </c>
      <c r="L56" s="3">
        <f t="shared" si="18"/>
        <v>165887.31003520693</v>
      </c>
      <c r="M56" s="3">
        <f t="shared" si="18"/>
        <v>180845.91074017182</v>
      </c>
      <c r="N56" s="3">
        <f t="shared" si="18"/>
        <v>194258.33061378327</v>
      </c>
      <c r="O56" s="3">
        <f t="shared" si="18"/>
        <v>206284.38909439632</v>
      </c>
      <c r="P56" s="3">
        <f t="shared" si="18"/>
        <v>217067.3860436398</v>
      </c>
      <c r="Q56" s="3">
        <f t="shared" si="18"/>
        <v>226735.80927597609</v>
      </c>
      <c r="R56" s="3">
        <f t="shared" si="18"/>
        <v>235404.86559117227</v>
      </c>
      <c r="S56" s="3">
        <f t="shared" si="18"/>
        <v>243177.85355312796</v>
      </c>
      <c r="T56" s="3">
        <f t="shared" si="18"/>
        <v>250147.39437278992</v>
      </c>
      <c r="U56" s="3">
        <f t="shared" si="18"/>
        <v>256396.53556208269</v>
      </c>
      <c r="V56" s="3">
        <f t="shared" si="18"/>
        <v>261999.74050975236</v>
      </c>
      <c r="W56" s="3">
        <f t="shared" si="18"/>
        <v>267023.77577069082</v>
      </c>
      <c r="X56" s="3">
        <f t="shared" si="18"/>
        <v>271528.5066414848</v>
      </c>
      <c r="Y56" s="3">
        <f t="shared" si="18"/>
        <v>275567.61050209217</v>
      </c>
    </row>
    <row r="57" spans="1:26" x14ac:dyDescent="0.25">
      <c r="A57" s="22" t="s">
        <v>174</v>
      </c>
      <c r="B57" s="22"/>
      <c r="C57" s="22"/>
      <c r="D57" s="22"/>
      <c r="F57" s="3">
        <f t="shared" ref="F57:Y57" si="19">IF(F9&lt;&gt;"",F56+F53,"")</f>
        <v>-84371.735967547793</v>
      </c>
      <c r="G57" s="3">
        <f t="shared" si="19"/>
        <v>-78172.761167161094</v>
      </c>
      <c r="H57" s="3">
        <f t="shared" si="19"/>
        <v>-72807.835195576496</v>
      </c>
      <c r="I57" s="3">
        <f t="shared" si="19"/>
        <v>-68191.565526612932</v>
      </c>
      <c r="J57" s="3">
        <f t="shared" si="19"/>
        <v>-64247.389609778882</v>
      </c>
      <c r="K57" s="3">
        <f t="shared" si="19"/>
        <v>-48725.872988684074</v>
      </c>
      <c r="L57" s="3">
        <f t="shared" si="19"/>
        <v>-34808.722440754471</v>
      </c>
      <c r="M57" s="3">
        <f t="shared" si="19"/>
        <v>-22330.104268191149</v>
      </c>
      <c r="N57" s="3">
        <f t="shared" si="19"/>
        <v>-11141.326007845841</v>
      </c>
      <c r="O57" s="3">
        <f t="shared" si="19"/>
        <v>-1109.0646446103055</v>
      </c>
      <c r="P57" s="3">
        <f t="shared" si="19"/>
        <v>7886.2220362397202</v>
      </c>
      <c r="Q57" s="3">
        <f t="shared" si="19"/>
        <v>15951.719887721294</v>
      </c>
      <c r="R57" s="3">
        <f t="shared" si="19"/>
        <v>23183.535604138975</v>
      </c>
      <c r="S57" s="3">
        <f t="shared" si="19"/>
        <v>29667.841907266789</v>
      </c>
      <c r="T57" s="3">
        <f t="shared" si="19"/>
        <v>35481.904361503519</v>
      </c>
      <c r="U57" s="3">
        <f t="shared" si="19"/>
        <v>40695.002053304343</v>
      </c>
      <c r="V57" s="3">
        <f t="shared" si="19"/>
        <v>45369.253105502052</v>
      </c>
      <c r="W57" s="3">
        <f t="shared" si="19"/>
        <v>49560.354863164248</v>
      </c>
      <c r="X57" s="3">
        <f t="shared" si="19"/>
        <v>53318.247570878506</v>
      </c>
      <c r="Y57" s="3">
        <f t="shared" si="19"/>
        <v>56610.297897450393</v>
      </c>
    </row>
    <row r="58" spans="1:26" x14ac:dyDescent="0.25">
      <c r="A58" s="33" t="s">
        <v>175</v>
      </c>
      <c r="B58" s="33"/>
      <c r="C58" s="33"/>
      <c r="D58" s="3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65" t="s">
        <v>96</v>
      </c>
      <c r="B60" s="65"/>
      <c r="C60" s="65"/>
      <c r="D60" s="65"/>
      <c r="E60" s="3">
        <f>E11</f>
        <v>84500</v>
      </c>
      <c r="F60" s="3">
        <f t="shared" ref="F60:Y60" si="20">IF(F9="",E60,-F53)</f>
        <v>116477.11289845288</v>
      </c>
      <c r="G60" s="3">
        <f t="shared" si="20"/>
        <v>139064.97478760587</v>
      </c>
      <c r="H60" s="3">
        <f t="shared" si="20"/>
        <v>159511.36286393477</v>
      </c>
      <c r="I60" s="3">
        <f t="shared" si="20"/>
        <v>178038.44652917425</v>
      </c>
      <c r="J60" s="3">
        <f t="shared" si="20"/>
        <v>194845.43432905397</v>
      </c>
      <c r="K60" s="3">
        <f t="shared" si="20"/>
        <v>197930.15809929726</v>
      </c>
      <c r="L60" s="3">
        <f t="shared" si="20"/>
        <v>200696.0324759614</v>
      </c>
      <c r="M60" s="3">
        <f t="shared" si="20"/>
        <v>203176.01500836297</v>
      </c>
      <c r="N60" s="3">
        <f t="shared" si="20"/>
        <v>205399.65662162911</v>
      </c>
      <c r="O60" s="3">
        <f t="shared" si="20"/>
        <v>207393.45373900663</v>
      </c>
      <c r="P60" s="3">
        <f t="shared" si="20"/>
        <v>209181.16400740008</v>
      </c>
      <c r="Q60" s="3">
        <f t="shared" si="20"/>
        <v>210784.0893882548</v>
      </c>
      <c r="R60" s="3">
        <f t="shared" si="20"/>
        <v>212221.3299870333</v>
      </c>
      <c r="S60" s="3">
        <f t="shared" si="20"/>
        <v>213510.01164586117</v>
      </c>
      <c r="T60" s="3">
        <f t="shared" si="20"/>
        <v>214665.4900112864</v>
      </c>
      <c r="U60" s="3">
        <f t="shared" si="20"/>
        <v>215701.53350877835</v>
      </c>
      <c r="V60" s="3">
        <f t="shared" si="20"/>
        <v>216630.48740425031</v>
      </c>
      <c r="W60" s="3">
        <f t="shared" si="20"/>
        <v>217463.42090752657</v>
      </c>
      <c r="X60" s="3">
        <f t="shared" si="20"/>
        <v>218210.25907060629</v>
      </c>
      <c r="Y60" s="3">
        <f t="shared" si="20"/>
        <v>218957.31260464177</v>
      </c>
    </row>
    <row r="61" spans="1:26" x14ac:dyDescent="0.25">
      <c r="A61" s="65" t="s">
        <v>97</v>
      </c>
      <c r="B61" s="65"/>
      <c r="C61" s="65"/>
      <c r="D61" s="65"/>
      <c r="F61" s="3">
        <f t="shared" ref="F61:Y61" si="21">IF(F9="",E61,F56)</f>
        <v>32105.376930905088</v>
      </c>
      <c r="G61" s="3">
        <f t="shared" si="21"/>
        <v>60892.213620444774</v>
      </c>
      <c r="H61" s="3">
        <f t="shared" si="21"/>
        <v>86703.527668358278</v>
      </c>
      <c r="I61" s="3">
        <f t="shared" si="21"/>
        <v>109846.88100256132</v>
      </c>
      <c r="J61" s="3">
        <f t="shared" si="21"/>
        <v>130598.04471927509</v>
      </c>
      <c r="K61" s="3">
        <f t="shared" si="21"/>
        <v>149204.28511061319</v>
      </c>
      <c r="L61" s="3">
        <f t="shared" si="21"/>
        <v>165887.31003520693</v>
      </c>
      <c r="M61" s="3">
        <f t="shared" si="21"/>
        <v>180845.91074017182</v>
      </c>
      <c r="N61" s="3">
        <f t="shared" si="21"/>
        <v>194258.33061378327</v>
      </c>
      <c r="O61" s="3">
        <f t="shared" si="21"/>
        <v>206284.38909439632</v>
      </c>
      <c r="P61" s="3">
        <f t="shared" si="21"/>
        <v>217067.3860436398</v>
      </c>
      <c r="Q61" s="3">
        <f t="shared" si="21"/>
        <v>226735.80927597609</v>
      </c>
      <c r="R61" s="3">
        <f t="shared" si="21"/>
        <v>235404.86559117227</v>
      </c>
      <c r="S61" s="3">
        <f t="shared" si="21"/>
        <v>243177.85355312796</v>
      </c>
      <c r="T61" s="3">
        <f t="shared" si="21"/>
        <v>250147.39437278992</v>
      </c>
      <c r="U61" s="3">
        <f t="shared" si="21"/>
        <v>256396.53556208269</v>
      </c>
      <c r="V61" s="3">
        <f t="shared" si="21"/>
        <v>261999.74050975236</v>
      </c>
      <c r="W61" s="3">
        <f t="shared" si="21"/>
        <v>267023.77577069082</v>
      </c>
      <c r="X61" s="3">
        <f t="shared" si="21"/>
        <v>271528.5066414848</v>
      </c>
      <c r="Y61" s="3">
        <f t="shared" si="21"/>
        <v>275567.61050209217</v>
      </c>
    </row>
  </sheetData>
  <sheetProtection selectLockedCells="1"/>
  <mergeCells count="29">
    <mergeCell ref="E3:H3"/>
    <mergeCell ref="A7:D7"/>
    <mergeCell ref="A9:D9"/>
    <mergeCell ref="A11:D11"/>
    <mergeCell ref="A12:D12"/>
    <mergeCell ref="A33:D33"/>
    <mergeCell ref="A34:D34"/>
    <mergeCell ref="A35:D35"/>
    <mergeCell ref="I7:J7"/>
    <mergeCell ref="A16:D16"/>
    <mergeCell ref="A21:D21"/>
    <mergeCell ref="A27:D27"/>
    <mergeCell ref="A18:D18"/>
    <mergeCell ref="N7:O7"/>
    <mergeCell ref="A15:D15"/>
    <mergeCell ref="A14:D14"/>
    <mergeCell ref="A13:D13"/>
    <mergeCell ref="A61:D61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  <mergeCell ref="A32:D32"/>
    <mergeCell ref="A60:D60"/>
  </mergeCells>
  <dataValidations disablePrompts="1" count="2">
    <dataValidation allowBlank="1" showInputMessage="1" showErrorMessage="1" promptTitle="BrutoDobit" prompt="Bruto dobit prema Bilansu uspeha, ne obuhvata otplatu glavice." sqref="A32:D32"/>
    <dataValidation allowBlank="1" showInputMessage="1" showErrorMessage="1" promptTitle="CashFlow" prompt="Ne obuhvata amortizaciju, ali obuhvata otplatu glavnice." sqref="A37"/>
  </dataValidations>
  <hyperlinks>
    <hyperlink ref="I7:J7" location="FinaIndikatori!I1" display="NAZAD"/>
    <hyperlink ref="N7:O7" location="Graf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12"/>
  <sheetViews>
    <sheetView workbookViewId="0">
      <selection activeCell="G5" sqref="G5"/>
    </sheetView>
  </sheetViews>
  <sheetFormatPr defaultRowHeight="15" x14ac:dyDescent="0.25"/>
  <sheetData>
    <row r="3" spans="1:9" ht="16.5" x14ac:dyDescent="0.35">
      <c r="F3" s="55" t="s">
        <v>158</v>
      </c>
      <c r="G3" s="55"/>
      <c r="H3" s="55"/>
      <c r="I3" s="55"/>
    </row>
    <row r="7" spans="1:9" ht="15" customHeight="1" x14ac:dyDescent="0.25">
      <c r="A7" s="57" t="s">
        <v>102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138</v>
      </c>
      <c r="B11" s="59"/>
      <c r="C11" s="60" t="s">
        <v>139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katori!I1" display="NAZAD"/>
    <hyperlink ref="C11:D12" location="GrafEk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24</vt:i4>
      </vt:variant>
    </vt:vector>
  </HeadingPairs>
  <TitlesOfParts>
    <vt:vector size="40" baseType="lpstr">
      <vt:lpstr>Pocetna</vt:lpstr>
      <vt:lpstr>KonvFaktor</vt:lpstr>
      <vt:lpstr>PomTab1</vt:lpstr>
      <vt:lpstr>UnosPodataka</vt:lpstr>
      <vt:lpstr>TroskoviEnergije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CO2Tax</vt:lpstr>
      <vt:lpstr>ECONS</vt:lpstr>
      <vt:lpstr>EFFTPS</vt:lpstr>
      <vt:lpstr>EPOW</vt:lpstr>
      <vt:lpstr>EPrice</vt:lpstr>
      <vt:lpstr>Equity</vt:lpstr>
      <vt:lpstr>eta</vt:lpstr>
      <vt:lpstr>etagrid</vt:lpstr>
      <vt:lpstr>FIRR</vt:lpstr>
      <vt:lpstr>FNPV</vt:lpstr>
      <vt:lpstr>HEAT</vt:lpstr>
      <vt:lpstr>HPCAP</vt:lpstr>
      <vt:lpstr>HPrice</vt:lpstr>
      <vt:lpstr>HRED</vt:lpstr>
      <vt:lpstr>Investment</vt:lpstr>
      <vt:lpstr>LCoEE</vt:lpstr>
      <vt:lpstr>Loan</vt:lpstr>
      <vt:lpstr>ModelF</vt:lpstr>
      <vt:lpstr>Money</vt:lpstr>
      <vt:lpstr>PROJEKAT</vt:lpstr>
      <vt:lpstr>WCONS</vt:lpstr>
      <vt:lpstr>WHOUR</vt:lpstr>
      <vt:lpstr>WPRICE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2023-07-21T07:24:55Z</dcterms:modified>
</cp:coreProperties>
</file>