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1" activeTab="14"/>
  </bookViews>
  <sheets>
    <sheet name="Pocetna" sheetId="1" r:id="rId1"/>
    <sheet name="KonvFaktor" sheetId="17" r:id="rId2"/>
    <sheet name="PomTab1" sheetId="4" r:id="rId3"/>
    <sheet name="UnosPodataka" sheetId="2" r:id="rId4"/>
    <sheet name="TroskoviEnergije" sheetId="5" r:id="rId5"/>
    <sheet name="Anuiteti" sheetId="6" r:id="rId6"/>
    <sheet name="FinaIndikatori" sheetId="7" r:id="rId7"/>
    <sheet name="FinInd+CO2" sheetId="9" r:id="rId8"/>
    <sheet name="GrafFina" sheetId="10" r:id="rId9"/>
    <sheet name="Graf+CO2" sheetId="11" r:id="rId10"/>
    <sheet name="LCoEE" sheetId="12" r:id="rId11"/>
    <sheet name="Osetljivost" sheetId="13" r:id="rId12"/>
    <sheet name="AkoESCO" sheetId="14" state="hidden" r:id="rId13"/>
    <sheet name="ESCOGrafFina" sheetId="15" state="hidden" r:id="rId14"/>
    <sheet name="REZIME" sheetId="16" r:id="rId15"/>
    <sheet name="Gorivo" sheetId="18" state="hidden" r:id="rId16"/>
  </sheets>
  <externalReferences>
    <externalReference r:id="rId17"/>
  </externalReferences>
  <definedNames>
    <definedName name="CARBON">TroskoviEnergije!$J$23</definedName>
    <definedName name="CERT">TroskoviEnergije!#REF!</definedName>
    <definedName name="CO2Tax">UnosPodataka!$M$13</definedName>
    <definedName name="ECONS">TroskoviEnergije!$J$17</definedName>
    <definedName name="EFFTPS">TroskoviEnergije!$J$18</definedName>
    <definedName name="EPOW" comment="Elektromotorni pogoni">TroskoviEnergije!$J$15</definedName>
    <definedName name="EPrice">TroskoviEnergije!$J$10</definedName>
    <definedName name="Equity">UnosPodataka!$F$30</definedName>
    <definedName name="eta">TroskoviEnergije!$J$12</definedName>
    <definedName name="etagrid">TroskoviEnergije!$J$13</definedName>
    <definedName name="FIRR">FinaIndikatori!#REF!</definedName>
    <definedName name="FNPV">FinaIndikatori!#REF!</definedName>
    <definedName name="HEAT">TroskoviEnergije!$J$9</definedName>
    <definedName name="HPCAP">TroskoviEnergije!$J$14</definedName>
    <definedName name="HPrice">TroskoviEnergije!$J$11</definedName>
    <definedName name="HRED">TroskoviEnergije!$J$19</definedName>
    <definedName name="InfRate" comment="Inflacija">0</definedName>
    <definedName name="Investment">UnosPodataka!$F$23</definedName>
    <definedName name="KamSptv">PomTab1!$L$27</definedName>
    <definedName name="Kurs_EUR" comment="Obračunski kurs EUR na dan 19-5-2022">117.489</definedName>
    <definedName name="LCoEE">LCoEE!$E$19</definedName>
    <definedName name="Loan">UnosPodataka!$F$33</definedName>
    <definedName name="Money">TroskoviEnergije!$J$20</definedName>
    <definedName name="PDV" comment="Porez na dodatu vrednost (opšti)">0.2</definedName>
    <definedName name="PROJEKAT">Pocetna!$M$12</definedName>
    <definedName name="VAT" comment="Porez na poslovanje kompanije">0.15</definedName>
    <definedName name="WCONS">TroskoviEnergije!$J$18</definedName>
    <definedName name="WHOUR">TroskoviEnergije!$J$16</definedName>
    <definedName name="WPRICE">TroskoviEnergije!$J$19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C18" i="17" l="1"/>
  <c r="E17" i="17"/>
  <c r="E16" i="17"/>
  <c r="E15" i="17"/>
  <c r="E14" i="17"/>
  <c r="E13" i="17"/>
  <c r="E12" i="17"/>
  <c r="E18" i="17" l="1"/>
  <c r="E21" i="17" s="1"/>
  <c r="Q40" i="4" s="1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G25" i="9"/>
  <c r="F25" i="9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23" i="2"/>
  <c r="G28" i="9" l="1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Y28" i="9"/>
  <c r="F28" i="9"/>
  <c r="M24" i="2"/>
  <c r="K26" i="4" l="1"/>
  <c r="K24" i="4"/>
  <c r="E13" i="9" s="1"/>
  <c r="E13" i="7" l="1"/>
  <c r="E12" i="16" l="1"/>
  <c r="E9" i="16"/>
  <c r="F4" i="14"/>
  <c r="G4" i="14" s="1"/>
  <c r="H4" i="14" s="1"/>
  <c r="I4" i="14" s="1"/>
  <c r="J4" i="14" s="1"/>
  <c r="K4" i="14" s="1"/>
  <c r="L4" i="14" s="1"/>
  <c r="M4" i="14" s="1"/>
  <c r="N4" i="14" s="1"/>
  <c r="O4" i="14" s="1"/>
  <c r="P4" i="14" s="1"/>
  <c r="Q4" i="14" s="1"/>
  <c r="R4" i="14" s="1"/>
  <c r="S4" i="14" s="1"/>
  <c r="T4" i="14" s="1"/>
  <c r="U4" i="14" s="1"/>
  <c r="V4" i="14" s="1"/>
  <c r="W4" i="14" s="1"/>
  <c r="X4" i="14" s="1"/>
  <c r="Y4" i="14" s="1"/>
  <c r="M28" i="2" l="1"/>
  <c r="F27" i="7" l="1"/>
  <c r="F29" i="9" s="1"/>
  <c r="J17" i="5"/>
  <c r="H15" i="7" s="1"/>
  <c r="S15" i="7" l="1"/>
  <c r="W15" i="7"/>
  <c r="O15" i="7"/>
  <c r="G10" i="2"/>
  <c r="G14" i="2"/>
  <c r="G18" i="2"/>
  <c r="G25" i="2"/>
  <c r="G11" i="2"/>
  <c r="G15" i="2"/>
  <c r="G19" i="2"/>
  <c r="G30" i="2"/>
  <c r="G9" i="2"/>
  <c r="G12" i="2"/>
  <c r="G16" i="2"/>
  <c r="G23" i="2"/>
  <c r="G13" i="2"/>
  <c r="G17" i="2"/>
  <c r="G32" i="2"/>
  <c r="Y15" i="7"/>
  <c r="U15" i="7"/>
  <c r="Q15" i="7"/>
  <c r="M15" i="7"/>
  <c r="I15" i="7"/>
  <c r="K15" i="7"/>
  <c r="G15" i="7"/>
  <c r="F15" i="7"/>
  <c r="V15" i="7"/>
  <c r="R15" i="7"/>
  <c r="N15" i="7"/>
  <c r="J15" i="7"/>
  <c r="X15" i="7"/>
  <c r="T15" i="7"/>
  <c r="P15" i="7"/>
  <c r="L15" i="7"/>
  <c r="E10" i="16"/>
  <c r="F12" i="12"/>
  <c r="F25" i="7"/>
  <c r="F27" i="9" s="1"/>
  <c r="F10" i="12"/>
  <c r="G9" i="9"/>
  <c r="G10" i="12" l="1"/>
  <c r="H9" i="9"/>
  <c r="G9" i="7"/>
  <c r="G25" i="7" l="1"/>
  <c r="G27" i="9" s="1"/>
  <c r="G27" i="7"/>
  <c r="G29" i="9" s="1"/>
  <c r="H10" i="12"/>
  <c r="I9" i="9"/>
  <c r="H9" i="7"/>
  <c r="J9" i="5"/>
  <c r="H25" i="7" l="1"/>
  <c r="H27" i="9" s="1"/>
  <c r="H27" i="7"/>
  <c r="H29" i="9" s="1"/>
  <c r="I10" i="12"/>
  <c r="J9" i="9"/>
  <c r="I9" i="7"/>
  <c r="J19" i="5"/>
  <c r="F15" i="9"/>
  <c r="J23" i="5" l="1"/>
  <c r="J16" i="9" s="1"/>
  <c r="I14" i="9"/>
  <c r="H14" i="7"/>
  <c r="H16" i="12" s="1"/>
  <c r="I25" i="7"/>
  <c r="I27" i="9" s="1"/>
  <c r="I27" i="7"/>
  <c r="I29" i="9" s="1"/>
  <c r="J20" i="5"/>
  <c r="I18" i="7" s="1"/>
  <c r="F14" i="7"/>
  <c r="F16" i="12" s="1"/>
  <c r="F14" i="9"/>
  <c r="G14" i="9"/>
  <c r="G14" i="7"/>
  <c r="G16" i="12" s="1"/>
  <c r="H14" i="9"/>
  <c r="J10" i="12"/>
  <c r="K9" i="9"/>
  <c r="J14" i="9"/>
  <c r="J9" i="7"/>
  <c r="I14" i="7"/>
  <c r="I16" i="12" s="1"/>
  <c r="J25" i="7" l="1"/>
  <c r="J27" i="9" s="1"/>
  <c r="J27" i="7"/>
  <c r="J29" i="9" s="1"/>
  <c r="J19" i="9"/>
  <c r="K10" i="12"/>
  <c r="F19" i="9"/>
  <c r="F18" i="7"/>
  <c r="G19" i="9"/>
  <c r="H19" i="9"/>
  <c r="G18" i="7"/>
  <c r="I19" i="9"/>
  <c r="H18" i="7"/>
  <c r="F16" i="9"/>
  <c r="F20" i="9" s="1"/>
  <c r="G16" i="9"/>
  <c r="H16" i="9"/>
  <c r="I16" i="9"/>
  <c r="L9" i="9"/>
  <c r="K19" i="9"/>
  <c r="K16" i="9"/>
  <c r="K14" i="9"/>
  <c r="K9" i="7"/>
  <c r="J14" i="7"/>
  <c r="J16" i="12" s="1"/>
  <c r="J18" i="7"/>
  <c r="K25" i="7" l="1"/>
  <c r="K27" i="9" s="1"/>
  <c r="K27" i="7"/>
  <c r="K29" i="9" s="1"/>
  <c r="F17" i="12"/>
  <c r="L10" i="12"/>
  <c r="M9" i="9"/>
  <c r="L19" i="9"/>
  <c r="L16" i="9"/>
  <c r="L14" i="9"/>
  <c r="L9" i="7"/>
  <c r="K18" i="7"/>
  <c r="K14" i="7"/>
  <c r="K16" i="12" s="1"/>
  <c r="L25" i="7" l="1"/>
  <c r="L27" i="9" s="1"/>
  <c r="L27" i="7"/>
  <c r="L29" i="9" s="1"/>
  <c r="M10" i="12"/>
  <c r="N9" i="9"/>
  <c r="M14" i="9"/>
  <c r="M19" i="9"/>
  <c r="M16" i="9"/>
  <c r="M9" i="7"/>
  <c r="L18" i="7"/>
  <c r="L14" i="7"/>
  <c r="L16" i="12" s="1"/>
  <c r="G20" i="9"/>
  <c r="G15" i="9"/>
  <c r="M25" i="7" l="1"/>
  <c r="M27" i="9" s="1"/>
  <c r="M27" i="7"/>
  <c r="M29" i="9" s="1"/>
  <c r="N10" i="12"/>
  <c r="O9" i="9"/>
  <c r="N14" i="9"/>
  <c r="N19" i="9"/>
  <c r="N16" i="9"/>
  <c r="N9" i="7"/>
  <c r="M14" i="7"/>
  <c r="M16" i="12" s="1"/>
  <c r="M18" i="7"/>
  <c r="H20" i="9"/>
  <c r="H15" i="9"/>
  <c r="N25" i="7" l="1"/>
  <c r="N27" i="9" s="1"/>
  <c r="N27" i="7"/>
  <c r="N29" i="9" s="1"/>
  <c r="O10" i="12"/>
  <c r="P9" i="9"/>
  <c r="O19" i="9"/>
  <c r="O16" i="9"/>
  <c r="O14" i="9"/>
  <c r="O9" i="7"/>
  <c r="N14" i="7"/>
  <c r="N16" i="12" s="1"/>
  <c r="N18" i="7"/>
  <c r="I20" i="9"/>
  <c r="I15" i="9"/>
  <c r="G17" i="12"/>
  <c r="O25" i="7" l="1"/>
  <c r="O27" i="9" s="1"/>
  <c r="O27" i="7"/>
  <c r="O29" i="9" s="1"/>
  <c r="P10" i="12"/>
  <c r="Q9" i="9"/>
  <c r="P19" i="9"/>
  <c r="P16" i="9"/>
  <c r="P14" i="9"/>
  <c r="P9" i="7"/>
  <c r="O18" i="7"/>
  <c r="O14" i="7"/>
  <c r="O16" i="12" s="1"/>
  <c r="J20" i="9"/>
  <c r="J15" i="9"/>
  <c r="H17" i="12"/>
  <c r="I17" i="12"/>
  <c r="P25" i="7" l="1"/>
  <c r="P27" i="9" s="1"/>
  <c r="P27" i="7"/>
  <c r="P29" i="9" s="1"/>
  <c r="Q10" i="12"/>
  <c r="R9" i="9"/>
  <c r="Q14" i="9"/>
  <c r="Q19" i="9"/>
  <c r="Q16" i="9"/>
  <c r="Q9" i="7"/>
  <c r="P18" i="7"/>
  <c r="P14" i="7"/>
  <c r="P16" i="12" s="1"/>
  <c r="K20" i="9"/>
  <c r="K15" i="9"/>
  <c r="Q25" i="7" l="1"/>
  <c r="Q27" i="9" s="1"/>
  <c r="Q27" i="7"/>
  <c r="Q29" i="9" s="1"/>
  <c r="R10" i="12"/>
  <c r="S9" i="9"/>
  <c r="R14" i="9"/>
  <c r="R19" i="9"/>
  <c r="R16" i="9"/>
  <c r="R9" i="7"/>
  <c r="Q14" i="7"/>
  <c r="Q16" i="12" s="1"/>
  <c r="Q18" i="7"/>
  <c r="L20" i="9"/>
  <c r="L15" i="9"/>
  <c r="J17" i="12"/>
  <c r="K17" i="12"/>
  <c r="R25" i="7" l="1"/>
  <c r="R27" i="9" s="1"/>
  <c r="R27" i="7"/>
  <c r="R29" i="9" s="1"/>
  <c r="S10" i="12"/>
  <c r="T9" i="9"/>
  <c r="S19" i="9"/>
  <c r="S16" i="9"/>
  <c r="S14" i="9"/>
  <c r="S9" i="7"/>
  <c r="R14" i="7"/>
  <c r="R16" i="12" s="1"/>
  <c r="R18" i="7"/>
  <c r="M20" i="9"/>
  <c r="M15" i="9"/>
  <c r="L17" i="12"/>
  <c r="S25" i="7" l="1"/>
  <c r="S27" i="9" s="1"/>
  <c r="S27" i="7"/>
  <c r="S29" i="9" s="1"/>
  <c r="T10" i="12"/>
  <c r="U9" i="9"/>
  <c r="T19" i="9"/>
  <c r="T16" i="9"/>
  <c r="T14" i="9"/>
  <c r="T9" i="7"/>
  <c r="S18" i="7"/>
  <c r="S14" i="7"/>
  <c r="S16" i="12" s="1"/>
  <c r="O20" i="9"/>
  <c r="O15" i="9"/>
  <c r="N20" i="9"/>
  <c r="N15" i="9"/>
  <c r="M17" i="12"/>
  <c r="T25" i="7" l="1"/>
  <c r="T27" i="9" s="1"/>
  <c r="T27" i="7"/>
  <c r="T29" i="9" s="1"/>
  <c r="U10" i="12"/>
  <c r="V9" i="9"/>
  <c r="U14" i="9"/>
  <c r="U19" i="9"/>
  <c r="U16" i="9"/>
  <c r="U9" i="7"/>
  <c r="T18" i="7"/>
  <c r="T14" i="7"/>
  <c r="T16" i="12" s="1"/>
  <c r="P20" i="9"/>
  <c r="P15" i="9"/>
  <c r="N17" i="12"/>
  <c r="U25" i="7" l="1"/>
  <c r="U27" i="9" s="1"/>
  <c r="U27" i="7"/>
  <c r="U29" i="9" s="1"/>
  <c r="V10" i="12"/>
  <c r="W9" i="9"/>
  <c r="V14" i="9"/>
  <c r="V19" i="9"/>
  <c r="V16" i="9"/>
  <c r="V9" i="7"/>
  <c r="U14" i="7"/>
  <c r="U16" i="12" s="1"/>
  <c r="U18" i="7"/>
  <c r="U22" i="7"/>
  <c r="U24" i="9" s="1"/>
  <c r="Q20" i="9"/>
  <c r="Q15" i="9"/>
  <c r="O17" i="12"/>
  <c r="V25" i="7" l="1"/>
  <c r="V27" i="9" s="1"/>
  <c r="V27" i="7"/>
  <c r="V29" i="9" s="1"/>
  <c r="W10" i="12"/>
  <c r="X9" i="9"/>
  <c r="W19" i="9"/>
  <c r="W16" i="9"/>
  <c r="W14" i="9"/>
  <c r="W9" i="7"/>
  <c r="V14" i="7"/>
  <c r="V16" i="12" s="1"/>
  <c r="V18" i="7"/>
  <c r="V22" i="7"/>
  <c r="V24" i="9" s="1"/>
  <c r="R20" i="9"/>
  <c r="R15" i="9"/>
  <c r="P17" i="12"/>
  <c r="W25" i="7" l="1"/>
  <c r="W27" i="9" s="1"/>
  <c r="W27" i="7"/>
  <c r="W29" i="9" s="1"/>
  <c r="X10" i="12"/>
  <c r="Y9" i="9"/>
  <c r="X19" i="9"/>
  <c r="X16" i="9"/>
  <c r="X14" i="9"/>
  <c r="X9" i="7"/>
  <c r="W18" i="7"/>
  <c r="W14" i="7"/>
  <c r="W16" i="12" s="1"/>
  <c r="W22" i="7"/>
  <c r="W24" i="9" s="1"/>
  <c r="S20" i="9"/>
  <c r="S15" i="9"/>
  <c r="Q17" i="12"/>
  <c r="R17" i="12"/>
  <c r="X25" i="7" l="1"/>
  <c r="X27" i="9" s="1"/>
  <c r="X27" i="7"/>
  <c r="X29" i="9" s="1"/>
  <c r="Y10" i="12"/>
  <c r="Y14" i="9"/>
  <c r="Y19" i="9"/>
  <c r="Y16" i="9"/>
  <c r="Y9" i="7"/>
  <c r="X18" i="7"/>
  <c r="X14" i="7"/>
  <c r="X16" i="12" s="1"/>
  <c r="X22" i="7"/>
  <c r="X24" i="9" s="1"/>
  <c r="T20" i="9"/>
  <c r="T15" i="9"/>
  <c r="S17" i="12"/>
  <c r="Y25" i="7" l="1"/>
  <c r="Y27" i="9" s="1"/>
  <c r="Y27" i="7"/>
  <c r="Y29" i="9" s="1"/>
  <c r="Y14" i="7"/>
  <c r="Y16" i="12" s="1"/>
  <c r="Y18" i="7"/>
  <c r="Y22" i="7"/>
  <c r="Y24" i="9" s="1"/>
  <c r="U20" i="9"/>
  <c r="U15" i="9"/>
  <c r="V20" i="9" l="1"/>
  <c r="V15" i="9"/>
  <c r="T17" i="12"/>
  <c r="W20" i="9" l="1"/>
  <c r="W15" i="9"/>
  <c r="U17" i="12"/>
  <c r="X20" i="9" l="1"/>
  <c r="X15" i="9"/>
  <c r="V17" i="12"/>
  <c r="Y20" i="9" l="1"/>
  <c r="Y15" i="9"/>
  <c r="W17" i="12"/>
  <c r="X17" i="12" l="1"/>
  <c r="F24" i="7"/>
  <c r="F26" i="9" s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Y17" i="12" l="1"/>
  <c r="G24" i="7"/>
  <c r="G26" i="9" s="1"/>
  <c r="H24" i="7" l="1"/>
  <c r="H26" i="9" s="1"/>
  <c r="I24" i="7" l="1"/>
  <c r="I26" i="9" s="1"/>
  <c r="J24" i="7" l="1"/>
  <c r="J26" i="9" s="1"/>
  <c r="K24" i="7" l="1"/>
  <c r="K26" i="9" s="1"/>
  <c r="L24" i="7" l="1"/>
  <c r="L26" i="9" s="1"/>
  <c r="M24" i="7" l="1"/>
  <c r="M26" i="9" s="1"/>
  <c r="N24" i="7" l="1"/>
  <c r="N26" i="9" s="1"/>
  <c r="O24" i="7" l="1"/>
  <c r="O26" i="9" s="1"/>
  <c r="P24" i="7" l="1"/>
  <c r="P26" i="9" s="1"/>
  <c r="Q24" i="7" l="1"/>
  <c r="Q26" i="9" s="1"/>
  <c r="P28" i="7" l="1"/>
  <c r="F24" i="2"/>
  <c r="G24" i="2" s="1"/>
  <c r="Y21" i="9"/>
  <c r="X21" i="9"/>
  <c r="T21" i="9"/>
  <c r="W21" i="9"/>
  <c r="S21" i="9"/>
  <c r="U21" i="9"/>
  <c r="V21" i="9"/>
  <c r="R21" i="9"/>
  <c r="F21" i="9"/>
  <c r="J21" i="9"/>
  <c r="Q21" i="9"/>
  <c r="M21" i="9"/>
  <c r="P21" i="9"/>
  <c r="L21" i="9"/>
  <c r="N21" i="9"/>
  <c r="O21" i="9"/>
  <c r="K21" i="9"/>
  <c r="H21" i="9"/>
  <c r="I21" i="9"/>
  <c r="G21" i="9"/>
  <c r="R24" i="7"/>
  <c r="R26" i="9" s="1"/>
  <c r="O28" i="7"/>
  <c r="O19" i="7"/>
  <c r="J28" i="7"/>
  <c r="J19" i="7"/>
  <c r="K28" i="7"/>
  <c r="K19" i="7"/>
  <c r="G28" i="7"/>
  <c r="G19" i="7"/>
  <c r="F28" i="7"/>
  <c r="F19" i="7"/>
  <c r="M28" i="7"/>
  <c r="M19" i="7"/>
  <c r="L28" i="7"/>
  <c r="L19" i="7"/>
  <c r="N28" i="7"/>
  <c r="N19" i="7"/>
  <c r="I28" i="7"/>
  <c r="I19" i="7"/>
  <c r="H28" i="7"/>
  <c r="H19" i="7"/>
  <c r="F31" i="2"/>
  <c r="G31" i="2" s="1"/>
  <c r="C25" i="4"/>
  <c r="K6" i="14" l="1"/>
  <c r="K7" i="14" s="1"/>
  <c r="K30" i="9"/>
  <c r="I6" i="14"/>
  <c r="I7" i="14" s="1"/>
  <c r="I30" i="9"/>
  <c r="L6" i="14"/>
  <c r="L7" i="14" s="1"/>
  <c r="L30" i="9"/>
  <c r="O6" i="14"/>
  <c r="O7" i="14" s="1"/>
  <c r="O30" i="9"/>
  <c r="H6" i="14"/>
  <c r="H7" i="14" s="1"/>
  <c r="H30" i="9"/>
  <c r="N6" i="14"/>
  <c r="N7" i="14" s="1"/>
  <c r="N30" i="9"/>
  <c r="M6" i="14"/>
  <c r="M7" i="14" s="1"/>
  <c r="M30" i="9"/>
  <c r="G6" i="14"/>
  <c r="G7" i="14" s="1"/>
  <c r="G30" i="9"/>
  <c r="J6" i="14"/>
  <c r="J7" i="14" s="1"/>
  <c r="J30" i="9"/>
  <c r="F6" i="14"/>
  <c r="F7" i="14" s="1"/>
  <c r="F30" i="9"/>
  <c r="P6" i="14"/>
  <c r="P7" i="14" s="1"/>
  <c r="P30" i="9"/>
  <c r="J55" i="9"/>
  <c r="X55" i="9"/>
  <c r="F55" i="9"/>
  <c r="W55" i="9"/>
  <c r="H55" i="9"/>
  <c r="L55" i="9"/>
  <c r="U55" i="9"/>
  <c r="K55" i="9"/>
  <c r="P55" i="9"/>
  <c r="S55" i="9"/>
  <c r="Y55" i="9"/>
  <c r="G55" i="9"/>
  <c r="O55" i="9"/>
  <c r="M55" i="9"/>
  <c r="R55" i="9"/>
  <c r="I55" i="9"/>
  <c r="N55" i="9"/>
  <c r="Q55" i="9"/>
  <c r="V55" i="9"/>
  <c r="T55" i="9"/>
  <c r="L53" i="7"/>
  <c r="O53" i="7"/>
  <c r="I53" i="7"/>
  <c r="F53" i="7"/>
  <c r="K53" i="7"/>
  <c r="H53" i="7"/>
  <c r="N53" i="7"/>
  <c r="M53" i="7"/>
  <c r="G53" i="7"/>
  <c r="J53" i="7"/>
  <c r="P19" i="7"/>
  <c r="S24" i="7"/>
  <c r="S26" i="9" s="1"/>
  <c r="F33" i="2"/>
  <c r="E11" i="7" s="1"/>
  <c r="G33" i="2" l="1"/>
  <c r="K25" i="4"/>
  <c r="P53" i="7"/>
  <c r="E13" i="16"/>
  <c r="E11" i="16"/>
  <c r="R19" i="7"/>
  <c r="Q28" i="7"/>
  <c r="Q19" i="7"/>
  <c r="R28" i="7"/>
  <c r="E9" i="6"/>
  <c r="E12" i="7"/>
  <c r="E12" i="9"/>
  <c r="E11" i="9"/>
  <c r="T24" i="7"/>
  <c r="T26" i="9" s="1"/>
  <c r="E17" i="6" l="1"/>
  <c r="E14" i="6"/>
  <c r="E13" i="6"/>
  <c r="E16" i="6"/>
  <c r="E18" i="6"/>
  <c r="E15" i="6"/>
  <c r="E19" i="6"/>
  <c r="D13" i="6"/>
  <c r="E20" i="6"/>
  <c r="R6" i="14"/>
  <c r="R7" i="14" s="1"/>
  <c r="R30" i="9"/>
  <c r="Q6" i="14"/>
  <c r="Q7" i="14" s="1"/>
  <c r="Q30" i="9"/>
  <c r="K27" i="4"/>
  <c r="L27" i="4" s="1"/>
  <c r="E30" i="6"/>
  <c r="E31" i="7"/>
  <c r="E37" i="7"/>
  <c r="Q53" i="7"/>
  <c r="R53" i="7"/>
  <c r="E25" i="6"/>
  <c r="E28" i="6"/>
  <c r="E27" i="6"/>
  <c r="E32" i="6"/>
  <c r="E31" i="6"/>
  <c r="E26" i="6"/>
  <c r="E29" i="6"/>
  <c r="U24" i="7"/>
  <c r="U26" i="9" s="1"/>
  <c r="M25" i="2" l="1"/>
  <c r="S56" i="9"/>
  <c r="Q56" i="9"/>
  <c r="G56" i="9"/>
  <c r="L56" i="9"/>
  <c r="R56" i="9"/>
  <c r="J56" i="9"/>
  <c r="P56" i="9"/>
  <c r="O56" i="9"/>
  <c r="K56" i="9"/>
  <c r="X56" i="9"/>
  <c r="Y56" i="9"/>
  <c r="N56" i="9"/>
  <c r="I56" i="9"/>
  <c r="V56" i="9"/>
  <c r="H56" i="9"/>
  <c r="T56" i="9"/>
  <c r="W56" i="9"/>
  <c r="U56" i="9"/>
  <c r="M56" i="9"/>
  <c r="F56" i="9"/>
  <c r="F57" i="9" s="1"/>
  <c r="P54" i="7"/>
  <c r="R54" i="7"/>
  <c r="Q54" i="7"/>
  <c r="E50" i="7"/>
  <c r="E51" i="7" s="1"/>
  <c r="E33" i="9"/>
  <c r="E40" i="7"/>
  <c r="E42" i="9" s="1"/>
  <c r="I54" i="7"/>
  <c r="J54" i="7"/>
  <c r="G54" i="7"/>
  <c r="H54" i="7"/>
  <c r="K54" i="7"/>
  <c r="M54" i="7"/>
  <c r="O54" i="7"/>
  <c r="L54" i="7"/>
  <c r="N54" i="7"/>
  <c r="F54" i="7"/>
  <c r="F55" i="7" s="1"/>
  <c r="E38" i="7"/>
  <c r="S28" i="7"/>
  <c r="S19" i="7"/>
  <c r="V24" i="7"/>
  <c r="V26" i="9" s="1"/>
  <c r="E52" i="7" l="1"/>
  <c r="E59" i="7" s="1"/>
  <c r="E41" i="7"/>
  <c r="E42" i="7" s="1"/>
  <c r="E52" i="9"/>
  <c r="E53" i="9" s="1"/>
  <c r="E54" i="9" s="1"/>
  <c r="E61" i="9" s="1"/>
  <c r="E39" i="9"/>
  <c r="G57" i="9"/>
  <c r="F62" i="9"/>
  <c r="S6" i="14"/>
  <c r="S7" i="14" s="1"/>
  <c r="S30" i="9"/>
  <c r="G55" i="7"/>
  <c r="F60" i="7"/>
  <c r="S53" i="7"/>
  <c r="S54" i="7" s="1"/>
  <c r="T19" i="7"/>
  <c r="T28" i="7"/>
  <c r="E24" i="6"/>
  <c r="C13" i="6"/>
  <c r="E22" i="6"/>
  <c r="E21" i="6"/>
  <c r="E23" i="6"/>
  <c r="W24" i="7"/>
  <c r="W26" i="9" s="1"/>
  <c r="G62" i="9" l="1"/>
  <c r="H57" i="9"/>
  <c r="E40" i="9"/>
  <c r="E43" i="9"/>
  <c r="E44" i="9" s="1"/>
  <c r="T6" i="14"/>
  <c r="T7" i="14" s="1"/>
  <c r="T30" i="9"/>
  <c r="H55" i="7"/>
  <c r="G60" i="7"/>
  <c r="T53" i="7"/>
  <c r="T54" i="7" s="1"/>
  <c r="F22" i="7"/>
  <c r="F24" i="9" s="1"/>
  <c r="U19" i="7"/>
  <c r="U28" i="7"/>
  <c r="U30" i="9" s="1"/>
  <c r="U31" i="9" s="1"/>
  <c r="U34" i="9" s="1"/>
  <c r="C14" i="6"/>
  <c r="D14" i="6" s="1"/>
  <c r="X24" i="7"/>
  <c r="X26" i="9" s="1"/>
  <c r="I57" i="9" l="1"/>
  <c r="H62" i="9"/>
  <c r="U36" i="9"/>
  <c r="U33" i="9" s="1"/>
  <c r="U52" i="9" s="1"/>
  <c r="U53" i="9" s="1"/>
  <c r="H60" i="7"/>
  <c r="I55" i="7"/>
  <c r="U53" i="7"/>
  <c r="U54" i="7" s="1"/>
  <c r="F31" i="9"/>
  <c r="F34" i="9" s="1"/>
  <c r="U29" i="7"/>
  <c r="U6" i="14"/>
  <c r="G22" i="7"/>
  <c r="G24" i="9" s="1"/>
  <c r="V19" i="7"/>
  <c r="V28" i="7"/>
  <c r="V30" i="9" s="1"/>
  <c r="V31" i="9" s="1"/>
  <c r="V34" i="9" s="1"/>
  <c r="V36" i="9" s="1"/>
  <c r="V33" i="9" s="1"/>
  <c r="V52" i="9" s="1"/>
  <c r="V53" i="9" s="1"/>
  <c r="C15" i="6"/>
  <c r="D15" i="6" s="1"/>
  <c r="Y24" i="7"/>
  <c r="Y26" i="9" s="1"/>
  <c r="I62" i="9" l="1"/>
  <c r="J57" i="9"/>
  <c r="U39" i="9"/>
  <c r="U43" i="9" s="1"/>
  <c r="V39" i="9"/>
  <c r="V43" i="9" s="1"/>
  <c r="U37" i="9"/>
  <c r="F36" i="9"/>
  <c r="F33" i="9" s="1"/>
  <c r="F52" i="9" s="1"/>
  <c r="V37" i="9"/>
  <c r="J55" i="7"/>
  <c r="I60" i="7"/>
  <c r="F29" i="7"/>
  <c r="U32" i="7"/>
  <c r="V53" i="7"/>
  <c r="V54" i="7" s="1"/>
  <c r="G31" i="9"/>
  <c r="G34" i="9" s="1"/>
  <c r="U7" i="14"/>
  <c r="V29" i="7"/>
  <c r="V6" i="14"/>
  <c r="V7" i="14" s="1"/>
  <c r="C16" i="6"/>
  <c r="D16" i="6" s="1"/>
  <c r="H22" i="7"/>
  <c r="H24" i="9" s="1"/>
  <c r="W19" i="7"/>
  <c r="W28" i="7"/>
  <c r="W30" i="9" s="1"/>
  <c r="W31" i="9" s="1"/>
  <c r="W34" i="9" s="1"/>
  <c r="W36" i="9" s="1"/>
  <c r="W33" i="9" s="1"/>
  <c r="W52" i="9" s="1"/>
  <c r="W53" i="9" s="1"/>
  <c r="K57" i="9" l="1"/>
  <c r="J62" i="9"/>
  <c r="W39" i="9"/>
  <c r="W43" i="9" s="1"/>
  <c r="F32" i="7"/>
  <c r="F34" i="7" s="1"/>
  <c r="F31" i="7" s="1"/>
  <c r="W37" i="9"/>
  <c r="F59" i="9"/>
  <c r="F53" i="9"/>
  <c r="F54" i="9" s="1"/>
  <c r="F39" i="9"/>
  <c r="G36" i="9"/>
  <c r="G33" i="9" s="1"/>
  <c r="G52" i="9" s="1"/>
  <c r="G53" i="9" s="1"/>
  <c r="F37" i="9"/>
  <c r="K55" i="7"/>
  <c r="J60" i="7"/>
  <c r="G29" i="7"/>
  <c r="W53" i="7"/>
  <c r="W54" i="7" s="1"/>
  <c r="V32" i="7"/>
  <c r="H31" i="9"/>
  <c r="H34" i="9" s="1"/>
  <c r="W29" i="7"/>
  <c r="W6" i="14"/>
  <c r="C17" i="6"/>
  <c r="D17" i="6" s="1"/>
  <c r="I22" i="7"/>
  <c r="I24" i="9" s="1"/>
  <c r="Y28" i="7"/>
  <c r="Y30" i="9" s="1"/>
  <c r="Y31" i="9" s="1"/>
  <c r="Y34" i="9" s="1"/>
  <c r="X19" i="7"/>
  <c r="X28" i="7"/>
  <c r="X30" i="9" s="1"/>
  <c r="X31" i="9" s="1"/>
  <c r="X34" i="9" s="1"/>
  <c r="L57" i="9" l="1"/>
  <c r="K62" i="9"/>
  <c r="F35" i="7"/>
  <c r="F13" i="12"/>
  <c r="X36" i="9"/>
  <c r="X33" i="9" s="1"/>
  <c r="Y36" i="9"/>
  <c r="Y33" i="9" s="1"/>
  <c r="G54" i="9"/>
  <c r="G61" i="9" s="1"/>
  <c r="F61" i="9"/>
  <c r="F58" i="9"/>
  <c r="F43" i="9"/>
  <c r="F44" i="9" s="1"/>
  <c r="F40" i="9"/>
  <c r="G39" i="9"/>
  <c r="G43" i="9" s="1"/>
  <c r="G37" i="9"/>
  <c r="H36" i="9"/>
  <c r="H33" i="9" s="1"/>
  <c r="H52" i="9" s="1"/>
  <c r="H53" i="9" s="1"/>
  <c r="L55" i="7"/>
  <c r="K60" i="7"/>
  <c r="G32" i="7"/>
  <c r="G34" i="7" s="1"/>
  <c r="G35" i="7" s="1"/>
  <c r="W32" i="7"/>
  <c r="H29" i="7"/>
  <c r="X53" i="7"/>
  <c r="X54" i="7" s="1"/>
  <c r="I31" i="9"/>
  <c r="I34" i="9" s="1"/>
  <c r="Y29" i="7"/>
  <c r="Y6" i="14"/>
  <c r="Y7" i="14" s="1"/>
  <c r="X29" i="7"/>
  <c r="X6" i="14"/>
  <c r="X7" i="14" s="1"/>
  <c r="W7" i="14"/>
  <c r="Y19" i="7"/>
  <c r="L62" i="9" l="1"/>
  <c r="M57" i="9"/>
  <c r="Y37" i="9"/>
  <c r="G58" i="9"/>
  <c r="H54" i="9"/>
  <c r="H61" i="9" s="1"/>
  <c r="X37" i="9"/>
  <c r="Y52" i="9"/>
  <c r="Y53" i="9" s="1"/>
  <c r="Y39" i="9"/>
  <c r="Y43" i="9" s="1"/>
  <c r="G13" i="12"/>
  <c r="G14" i="12" s="1"/>
  <c r="X52" i="9"/>
  <c r="X53" i="9" s="1"/>
  <c r="X39" i="9"/>
  <c r="X43" i="9" s="1"/>
  <c r="H39" i="9"/>
  <c r="G40" i="9"/>
  <c r="G44" i="9"/>
  <c r="I36" i="9"/>
  <c r="I33" i="9" s="1"/>
  <c r="I52" i="9" s="1"/>
  <c r="I53" i="9" s="1"/>
  <c r="H37" i="9"/>
  <c r="G31" i="7"/>
  <c r="G50" i="7" s="1"/>
  <c r="G51" i="7" s="1"/>
  <c r="M55" i="7"/>
  <c r="L60" i="7"/>
  <c r="C18" i="6"/>
  <c r="D18" i="6" s="1"/>
  <c r="J22" i="7"/>
  <c r="F37" i="7"/>
  <c r="F41" i="7" s="1"/>
  <c r="F42" i="7" s="1"/>
  <c r="F50" i="7"/>
  <c r="F57" i="7" s="1"/>
  <c r="H32" i="7"/>
  <c r="H34" i="7" s="1"/>
  <c r="H35" i="7" s="1"/>
  <c r="X32" i="7"/>
  <c r="I29" i="7"/>
  <c r="Y53" i="7"/>
  <c r="Y54" i="7" s="1"/>
  <c r="Y32" i="7"/>
  <c r="E9" i="14"/>
  <c r="J24" i="9" l="1"/>
  <c r="M62" i="9"/>
  <c r="N57" i="9"/>
  <c r="G37" i="7"/>
  <c r="G41" i="7" s="1"/>
  <c r="G42" i="7" s="1"/>
  <c r="H58" i="9"/>
  <c r="I54" i="9"/>
  <c r="I61" i="9" s="1"/>
  <c r="H40" i="9"/>
  <c r="F51" i="7"/>
  <c r="F52" i="7" s="1"/>
  <c r="G52" i="7" s="1"/>
  <c r="H13" i="12"/>
  <c r="H14" i="12" s="1"/>
  <c r="H43" i="9"/>
  <c r="H44" i="9" s="1"/>
  <c r="I39" i="9"/>
  <c r="I43" i="9" s="1"/>
  <c r="I37" i="9"/>
  <c r="N55" i="7"/>
  <c r="M60" i="7"/>
  <c r="F38" i="7"/>
  <c r="C19" i="6"/>
  <c r="D19" i="6" s="1"/>
  <c r="H31" i="7"/>
  <c r="I32" i="7"/>
  <c r="I34" i="7" s="1"/>
  <c r="I35" i="7" s="1"/>
  <c r="C21" i="6"/>
  <c r="D21" i="6" s="1"/>
  <c r="J29" i="7" l="1"/>
  <c r="J32" i="7" s="1"/>
  <c r="J34" i="7" s="1"/>
  <c r="J35" i="7" s="1"/>
  <c r="N62" i="9"/>
  <c r="O57" i="9"/>
  <c r="J31" i="9"/>
  <c r="J34" i="9" s="1"/>
  <c r="J36" i="9" s="1"/>
  <c r="J33" i="9" s="1"/>
  <c r="J52" i="9" s="1"/>
  <c r="J53" i="9" s="1"/>
  <c r="J54" i="9" s="1"/>
  <c r="J61" i="9" s="1"/>
  <c r="G38" i="7"/>
  <c r="I58" i="9"/>
  <c r="F56" i="7"/>
  <c r="F59" i="7"/>
  <c r="I13" i="12"/>
  <c r="I14" i="12" s="1"/>
  <c r="I44" i="9"/>
  <c r="I40" i="9"/>
  <c r="N60" i="7"/>
  <c r="O55" i="7"/>
  <c r="C20" i="6"/>
  <c r="D20" i="6" s="1"/>
  <c r="K22" i="7"/>
  <c r="K24" i="9" s="1"/>
  <c r="G59" i="7"/>
  <c r="G56" i="7"/>
  <c r="H37" i="7"/>
  <c r="H50" i="7"/>
  <c r="H51" i="7" s="1"/>
  <c r="H52" i="7" s="1"/>
  <c r="I31" i="7"/>
  <c r="I50" i="7" s="1"/>
  <c r="I51" i="7" s="1"/>
  <c r="N22" i="7"/>
  <c r="C22" i="6"/>
  <c r="D22" i="6" s="1"/>
  <c r="N29" i="7" l="1"/>
  <c r="N24" i="9"/>
  <c r="N31" i="9" s="1"/>
  <c r="N34" i="9" s="1"/>
  <c r="P57" i="9"/>
  <c r="O62" i="9"/>
  <c r="J13" i="12"/>
  <c r="J14" i="12" s="1"/>
  <c r="J31" i="7"/>
  <c r="J50" i="7" s="1"/>
  <c r="J51" i="7" s="1"/>
  <c r="J58" i="9"/>
  <c r="J39" i="9"/>
  <c r="J40" i="9" s="1"/>
  <c r="J37" i="9"/>
  <c r="O60" i="7"/>
  <c r="P55" i="7"/>
  <c r="M22" i="7"/>
  <c r="L22" i="7"/>
  <c r="L24" i="9" s="1"/>
  <c r="H59" i="7"/>
  <c r="H56" i="7"/>
  <c r="I52" i="7"/>
  <c r="H41" i="7"/>
  <c r="H42" i="7" s="1"/>
  <c r="H38" i="7"/>
  <c r="I37" i="7"/>
  <c r="N32" i="7"/>
  <c r="O22" i="7"/>
  <c r="C23" i="6"/>
  <c r="O29" i="7" l="1"/>
  <c r="O24" i="9"/>
  <c r="O31" i="9" s="1"/>
  <c r="O34" i="9" s="1"/>
  <c r="M24" i="9"/>
  <c r="P62" i="9"/>
  <c r="Q57" i="9"/>
  <c r="K29" i="7"/>
  <c r="K32" i="7" s="1"/>
  <c r="K34" i="7" s="1"/>
  <c r="K35" i="7" s="1"/>
  <c r="K31" i="9"/>
  <c r="K34" i="9" s="1"/>
  <c r="K36" i="9" s="1"/>
  <c r="K33" i="9" s="1"/>
  <c r="K52" i="9" s="1"/>
  <c r="K53" i="9" s="1"/>
  <c r="K54" i="9" s="1"/>
  <c r="K61" i="9" s="1"/>
  <c r="J37" i="7"/>
  <c r="J41" i="7" s="1"/>
  <c r="J43" i="9"/>
  <c r="J44" i="9" s="1"/>
  <c r="N36" i="9"/>
  <c r="N33" i="9" s="1"/>
  <c r="N52" i="9" s="1"/>
  <c r="N53" i="9" s="1"/>
  <c r="Q55" i="7"/>
  <c r="P60" i="7"/>
  <c r="I56" i="7"/>
  <c r="J52" i="7"/>
  <c r="I59" i="7"/>
  <c r="I41" i="7"/>
  <c r="I42" i="7" s="1"/>
  <c r="I38" i="7"/>
  <c r="O32" i="7"/>
  <c r="N34" i="7"/>
  <c r="N13" i="12" s="1"/>
  <c r="N14" i="12" s="1"/>
  <c r="D23" i="6"/>
  <c r="J38" i="7" l="1"/>
  <c r="M29" i="7"/>
  <c r="M32" i="7" s="1"/>
  <c r="M34" i="7" s="1"/>
  <c r="M35" i="7" s="1"/>
  <c r="M31" i="9"/>
  <c r="M34" i="9" s="1"/>
  <c r="M36" i="9" s="1"/>
  <c r="M33" i="9" s="1"/>
  <c r="M52" i="9" s="1"/>
  <c r="M53" i="9" s="1"/>
  <c r="R57" i="9"/>
  <c r="Q62" i="9"/>
  <c r="L29" i="7"/>
  <c r="L31" i="9"/>
  <c r="L34" i="9" s="1"/>
  <c r="L36" i="9" s="1"/>
  <c r="L33" i="9" s="1"/>
  <c r="L52" i="9" s="1"/>
  <c r="L53" i="9" s="1"/>
  <c r="L54" i="9" s="1"/>
  <c r="L58" i="9" s="1"/>
  <c r="J42" i="7"/>
  <c r="K13" i="12"/>
  <c r="K14" i="12" s="1"/>
  <c r="K58" i="9"/>
  <c r="K39" i="9"/>
  <c r="N39" i="9"/>
  <c r="N43" i="9" s="1"/>
  <c r="K37" i="9"/>
  <c r="N37" i="9"/>
  <c r="O36" i="9"/>
  <c r="O33" i="9" s="1"/>
  <c r="O52" i="9" s="1"/>
  <c r="O53" i="9" s="1"/>
  <c r="Q60" i="7"/>
  <c r="R55" i="7"/>
  <c r="S55" i="7" s="1"/>
  <c r="K31" i="7"/>
  <c r="L32" i="7"/>
  <c r="L34" i="7" s="1"/>
  <c r="L35" i="7" s="1"/>
  <c r="J59" i="7"/>
  <c r="J56" i="7"/>
  <c r="N35" i="7"/>
  <c r="N31" i="7"/>
  <c r="P22" i="7"/>
  <c r="O34" i="7"/>
  <c r="O13" i="12" s="1"/>
  <c r="O14" i="12" s="1"/>
  <c r="C24" i="6"/>
  <c r="M31" i="7" l="1"/>
  <c r="M50" i="7" s="1"/>
  <c r="M51" i="7" s="1"/>
  <c r="S57" i="9"/>
  <c r="R62" i="9"/>
  <c r="P29" i="7"/>
  <c r="P32" i="7" s="1"/>
  <c r="P34" i="7" s="1"/>
  <c r="P35" i="7" s="1"/>
  <c r="P24" i="9"/>
  <c r="P31" i="9" s="1"/>
  <c r="P34" i="9" s="1"/>
  <c r="M13" i="12"/>
  <c r="M14" i="12" s="1"/>
  <c r="L13" i="12"/>
  <c r="L14" i="12" s="1"/>
  <c r="M54" i="9"/>
  <c r="N54" i="9" s="1"/>
  <c r="L61" i="9"/>
  <c r="M39" i="9"/>
  <c r="M43" i="9" s="1"/>
  <c r="L39" i="9"/>
  <c r="L43" i="9" s="1"/>
  <c r="K43" i="9"/>
  <c r="K44" i="9" s="1"/>
  <c r="K40" i="9"/>
  <c r="O39" i="9"/>
  <c r="O43" i="9" s="1"/>
  <c r="M37" i="9"/>
  <c r="O37" i="9"/>
  <c r="L37" i="9"/>
  <c r="S60" i="7"/>
  <c r="T55" i="7"/>
  <c r="R60" i="7"/>
  <c r="L31" i="7"/>
  <c r="K37" i="7"/>
  <c r="K50" i="7"/>
  <c r="K51" i="7" s="1"/>
  <c r="K52" i="7" s="1"/>
  <c r="N37" i="7"/>
  <c r="N41" i="7" s="1"/>
  <c r="N50" i="7"/>
  <c r="N51" i="7" s="1"/>
  <c r="O35" i="7"/>
  <c r="O31" i="7"/>
  <c r="D24" i="6"/>
  <c r="M37" i="7" l="1"/>
  <c r="M41" i="7" s="1"/>
  <c r="S62" i="9"/>
  <c r="T57" i="9"/>
  <c r="M58" i="9"/>
  <c r="M61" i="9"/>
  <c r="P13" i="12"/>
  <c r="P14" i="12" s="1"/>
  <c r="L40" i="9"/>
  <c r="M40" i="9" s="1"/>
  <c r="N40" i="9" s="1"/>
  <c r="O40" i="9" s="1"/>
  <c r="L44" i="9"/>
  <c r="M44" i="9" s="1"/>
  <c r="N44" i="9" s="1"/>
  <c r="O44" i="9" s="1"/>
  <c r="P36" i="9"/>
  <c r="P33" i="9" s="1"/>
  <c r="P52" i="9" s="1"/>
  <c r="P53" i="9" s="1"/>
  <c r="T60" i="7"/>
  <c r="U55" i="7"/>
  <c r="K59" i="7"/>
  <c r="L37" i="7"/>
  <c r="L41" i="7" s="1"/>
  <c r="L50" i="7"/>
  <c r="L51" i="7" s="1"/>
  <c r="L52" i="7" s="1"/>
  <c r="K56" i="7"/>
  <c r="N61" i="9"/>
  <c r="N58" i="9"/>
  <c r="O54" i="9"/>
  <c r="K41" i="7"/>
  <c r="K42" i="7" s="1"/>
  <c r="K38" i="7"/>
  <c r="O37" i="7"/>
  <c r="O41" i="7" s="1"/>
  <c r="O50" i="7"/>
  <c r="O51" i="7" s="1"/>
  <c r="P31" i="7"/>
  <c r="Q22" i="7"/>
  <c r="C25" i="6"/>
  <c r="D25" i="6" s="1"/>
  <c r="T62" i="9" l="1"/>
  <c r="U57" i="9"/>
  <c r="Q29" i="7"/>
  <c r="Q24" i="9"/>
  <c r="Q31" i="9" s="1"/>
  <c r="Q34" i="9" s="1"/>
  <c r="P39" i="9"/>
  <c r="P37" i="9"/>
  <c r="V55" i="7"/>
  <c r="U60" i="7"/>
  <c r="L38" i="7"/>
  <c r="M38" i="7" s="1"/>
  <c r="N38" i="7" s="1"/>
  <c r="O38" i="7" s="1"/>
  <c r="L56" i="7"/>
  <c r="M52" i="7"/>
  <c r="M59" i="7" s="1"/>
  <c r="L59" i="7"/>
  <c r="O61" i="9"/>
  <c r="O58" i="9"/>
  <c r="L42" i="7"/>
  <c r="M42" i="7" s="1"/>
  <c r="N42" i="7" s="1"/>
  <c r="O42" i="7" s="1"/>
  <c r="P54" i="9"/>
  <c r="P37" i="7"/>
  <c r="P41" i="7" s="1"/>
  <c r="P50" i="7"/>
  <c r="P51" i="7" s="1"/>
  <c r="Q32" i="7"/>
  <c r="R22" i="7"/>
  <c r="C26" i="6"/>
  <c r="D26" i="6" s="1"/>
  <c r="R29" i="7" l="1"/>
  <c r="R32" i="7" s="1"/>
  <c r="R24" i="9"/>
  <c r="R31" i="9" s="1"/>
  <c r="R34" i="9" s="1"/>
  <c r="U62" i="9"/>
  <c r="V57" i="9"/>
  <c r="P43" i="9"/>
  <c r="P44" i="9" s="1"/>
  <c r="P40" i="9"/>
  <c r="Q36" i="9"/>
  <c r="Q33" i="9" s="1"/>
  <c r="Q52" i="9" s="1"/>
  <c r="Q53" i="9" s="1"/>
  <c r="Q54" i="9" s="1"/>
  <c r="Q61" i="9" s="1"/>
  <c r="V60" i="7"/>
  <c r="W55" i="7"/>
  <c r="P42" i="7"/>
  <c r="N52" i="7"/>
  <c r="N59" i="7" s="1"/>
  <c r="M56" i="7"/>
  <c r="P38" i="7"/>
  <c r="P61" i="9"/>
  <c r="P58" i="9"/>
  <c r="S22" i="7"/>
  <c r="Q34" i="7"/>
  <c r="Q13" i="12" s="1"/>
  <c r="Q14" i="12" s="1"/>
  <c r="C27" i="6"/>
  <c r="D27" i="6" s="1"/>
  <c r="W57" i="9" l="1"/>
  <c r="V62" i="9"/>
  <c r="S29" i="7"/>
  <c r="S24" i="9"/>
  <c r="S31" i="9" s="1"/>
  <c r="S34" i="9" s="1"/>
  <c r="Q39" i="9"/>
  <c r="Q43" i="9" s="1"/>
  <c r="Q44" i="9" s="1"/>
  <c r="R36" i="9"/>
  <c r="R33" i="9" s="1"/>
  <c r="R52" i="9" s="1"/>
  <c r="R53" i="9" s="1"/>
  <c r="R54" i="9" s="1"/>
  <c r="R58" i="9" s="1"/>
  <c r="Q58" i="9"/>
  <c r="Q37" i="9"/>
  <c r="X55" i="7"/>
  <c r="W60" i="7"/>
  <c r="N56" i="7"/>
  <c r="O52" i="7"/>
  <c r="P52" i="7" s="1"/>
  <c r="Q35" i="7"/>
  <c r="Q31" i="7"/>
  <c r="S32" i="7"/>
  <c r="T22" i="7"/>
  <c r="R34" i="7"/>
  <c r="R13" i="12" s="1"/>
  <c r="R14" i="12" s="1"/>
  <c r="C28" i="6"/>
  <c r="T29" i="7" l="1"/>
  <c r="T32" i="7" s="1"/>
  <c r="T24" i="9"/>
  <c r="T31" i="9" s="1"/>
  <c r="T34" i="9" s="1"/>
  <c r="W62" i="9"/>
  <c r="X57" i="9"/>
  <c r="Q40" i="9"/>
  <c r="R37" i="9"/>
  <c r="R61" i="9"/>
  <c r="R39" i="9"/>
  <c r="R43" i="9" s="1"/>
  <c r="R44" i="9" s="1"/>
  <c r="S36" i="9"/>
  <c r="S33" i="9" s="1"/>
  <c r="S52" i="9" s="1"/>
  <c r="S53" i="9" s="1"/>
  <c r="S54" i="9" s="1"/>
  <c r="X60" i="7"/>
  <c r="Y55" i="7"/>
  <c r="Y60" i="7" s="1"/>
  <c r="O59" i="7"/>
  <c r="O56" i="7"/>
  <c r="P59" i="7"/>
  <c r="P56" i="7"/>
  <c r="Q37" i="7"/>
  <c r="Q41" i="7" s="1"/>
  <c r="Q42" i="7" s="1"/>
  <c r="Q50" i="7"/>
  <c r="Q51" i="7" s="1"/>
  <c r="Q52" i="7" s="1"/>
  <c r="R35" i="7"/>
  <c r="R31" i="7"/>
  <c r="S34" i="7"/>
  <c r="S13" i="12" s="1"/>
  <c r="S14" i="12" s="1"/>
  <c r="D28" i="6"/>
  <c r="X62" i="9" l="1"/>
  <c r="Y57" i="9"/>
  <c r="Y62" i="9" s="1"/>
  <c r="R40" i="9"/>
  <c r="S61" i="9"/>
  <c r="S58" i="9"/>
  <c r="S39" i="9"/>
  <c r="S43" i="9" s="1"/>
  <c r="S44" i="9" s="1"/>
  <c r="S37" i="9"/>
  <c r="T36" i="9"/>
  <c r="T33" i="9" s="1"/>
  <c r="T52" i="9" s="1"/>
  <c r="T53" i="9" s="1"/>
  <c r="T54" i="9" s="1"/>
  <c r="Q38" i="7"/>
  <c r="Q56" i="7"/>
  <c r="Q59" i="7"/>
  <c r="R37" i="7"/>
  <c r="R41" i="7" s="1"/>
  <c r="R42" i="7" s="1"/>
  <c r="R50" i="7"/>
  <c r="R51" i="7" s="1"/>
  <c r="R52" i="7" s="1"/>
  <c r="S35" i="7"/>
  <c r="S31" i="7"/>
  <c r="T34" i="7"/>
  <c r="T13" i="12" s="1"/>
  <c r="T14" i="12" s="1"/>
  <c r="C29" i="6"/>
  <c r="T61" i="9" l="1"/>
  <c r="T58" i="9"/>
  <c r="T39" i="9"/>
  <c r="E48" i="9"/>
  <c r="S40" i="9"/>
  <c r="T37" i="9"/>
  <c r="R59" i="7"/>
  <c r="R56" i="7"/>
  <c r="S37" i="7"/>
  <c r="S41" i="7" s="1"/>
  <c r="S42" i="7" s="1"/>
  <c r="S50" i="7"/>
  <c r="S51" i="7" s="1"/>
  <c r="S52" i="7" s="1"/>
  <c r="R38" i="7"/>
  <c r="T35" i="7"/>
  <c r="T31" i="7"/>
  <c r="U54" i="9"/>
  <c r="U61" i="9" s="1"/>
  <c r="D29" i="6"/>
  <c r="T43" i="9" l="1"/>
  <c r="T44" i="9" s="1"/>
  <c r="U44" i="9" s="1"/>
  <c r="V44" i="9" s="1"/>
  <c r="W44" i="9" s="1"/>
  <c r="X44" i="9" s="1"/>
  <c r="Y44" i="9" s="1"/>
  <c r="E50" i="9" s="1" a="1"/>
  <c r="E50" i="9" s="1"/>
  <c r="E46" i="9"/>
  <c r="E47" i="9"/>
  <c r="T40" i="9"/>
  <c r="U40" i="9" s="1"/>
  <c r="V40" i="9" s="1"/>
  <c r="W40" i="9" s="1"/>
  <c r="X40" i="9" s="1"/>
  <c r="Y40" i="9" s="1"/>
  <c r="E49" i="9" s="1" a="1"/>
  <c r="E49" i="9" s="1"/>
  <c r="S38" i="7"/>
  <c r="S56" i="7"/>
  <c r="S59" i="7"/>
  <c r="T37" i="7"/>
  <c r="T41" i="7" s="1"/>
  <c r="T42" i="7" s="1"/>
  <c r="T50" i="7"/>
  <c r="T51" i="7" s="1"/>
  <c r="T52" i="7" s="1"/>
  <c r="U34" i="7"/>
  <c r="U13" i="12" s="1"/>
  <c r="U14" i="12" s="1"/>
  <c r="C30" i="6"/>
  <c r="D30" i="6" s="1"/>
  <c r="U58" i="9"/>
  <c r="E18" i="16" l="1"/>
  <c r="E17" i="16"/>
  <c r="E40" i="13"/>
  <c r="D40" i="13"/>
  <c r="T38" i="7"/>
  <c r="T56" i="7"/>
  <c r="T59" i="7"/>
  <c r="U35" i="7"/>
  <c r="U31" i="7"/>
  <c r="V54" i="9"/>
  <c r="C31" i="6"/>
  <c r="D31" i="6" s="1"/>
  <c r="U37" i="7" l="1"/>
  <c r="U50" i="7"/>
  <c r="U51" i="7" s="1"/>
  <c r="U52" i="7" s="1"/>
  <c r="V34" i="7"/>
  <c r="V13" i="12" s="1"/>
  <c r="V14" i="12" s="1"/>
  <c r="W54" i="9"/>
  <c r="C32" i="6"/>
  <c r="D32" i="6" s="1"/>
  <c r="V58" i="9"/>
  <c r="V61" i="9"/>
  <c r="U59" i="7" l="1"/>
  <c r="U56" i="7"/>
  <c r="U41" i="7"/>
  <c r="U42" i="7" s="1"/>
  <c r="U38" i="7"/>
  <c r="V35" i="7"/>
  <c r="V31" i="7"/>
  <c r="W34" i="7"/>
  <c r="W13" i="12" s="1"/>
  <c r="W14" i="12" s="1"/>
  <c r="W58" i="9"/>
  <c r="W61" i="9"/>
  <c r="X54" i="9"/>
  <c r="V37" i="7" l="1"/>
  <c r="V41" i="7" s="1"/>
  <c r="V42" i="7" s="1"/>
  <c r="V50" i="7"/>
  <c r="V51" i="7" s="1"/>
  <c r="V52" i="7" s="1"/>
  <c r="W35" i="7"/>
  <c r="W31" i="7"/>
  <c r="V38" i="7"/>
  <c r="X34" i="7"/>
  <c r="X13" i="12" s="1"/>
  <c r="X14" i="12" s="1"/>
  <c r="X58" i="9"/>
  <c r="Y54" i="9"/>
  <c r="Y58" i="9" s="1"/>
  <c r="X61" i="9"/>
  <c r="W37" i="7" l="1"/>
  <c r="W41" i="7" s="1"/>
  <c r="W42" i="7" s="1"/>
  <c r="W50" i="7"/>
  <c r="W51" i="7" s="1"/>
  <c r="W52" i="7" s="1"/>
  <c r="V56" i="7"/>
  <c r="V59" i="7"/>
  <c r="X35" i="7"/>
  <c r="X31" i="7"/>
  <c r="Y34" i="7"/>
  <c r="Y13" i="12" s="1"/>
  <c r="Y14" i="12" s="1"/>
  <c r="Y61" i="9"/>
  <c r="W38" i="7" l="1"/>
  <c r="W56" i="7"/>
  <c r="W59" i="7"/>
  <c r="X37" i="7"/>
  <c r="X41" i="7" s="1"/>
  <c r="X42" i="7" s="1"/>
  <c r="X50" i="7"/>
  <c r="X51" i="7" s="1"/>
  <c r="X52" i="7" s="1"/>
  <c r="Y35" i="7"/>
  <c r="Y31" i="7"/>
  <c r="Y50" i="7" s="1"/>
  <c r="Y51" i="7" s="1"/>
  <c r="F14" i="12"/>
  <c r="E20" i="12" l="1"/>
  <c r="E19" i="12"/>
  <c r="E14" i="16" s="1"/>
  <c r="X38" i="7"/>
  <c r="X56" i="7"/>
  <c r="Y52" i="7"/>
  <c r="X59" i="7"/>
  <c r="Y37" i="7"/>
  <c r="E46" i="7"/>
  <c r="Y38" i="7" l="1"/>
  <c r="E47" i="7" s="1" a="1"/>
  <c r="E47" i="7" s="1"/>
  <c r="Y56" i="7"/>
  <c r="Y59" i="7"/>
  <c r="Y41" i="7"/>
  <c r="Y42" i="7" s="1"/>
  <c r="E48" i="7" s="1" a="1"/>
  <c r="E48" i="7" s="1"/>
  <c r="E44" i="7"/>
  <c r="E15" i="16" s="1"/>
  <c r="E45" i="7"/>
  <c r="E16" i="16" s="1"/>
  <c r="B40" i="13" l="1"/>
  <c r="C40" i="1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<sst xmlns="http://schemas.openxmlformats.org/spreadsheetml/2006/main" count="357" uniqueCount="212">
  <si>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</si>
  <si>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</si>
  <si>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</si>
  <si>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</si>
  <si>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</si>
  <si>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</si>
  <si>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</si>
  <si>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</si>
  <si>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</si>
  <si>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</si>
  <si>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</si>
  <si>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</si>
  <si>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</si>
  <si>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</si>
  <si>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</si>
  <si>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</si>
  <si>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</si>
  <si>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</si>
  <si>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</si>
  <si>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</si>
  <si>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</si>
  <si>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</si>
  <si>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</si>
  <si>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</si>
  <si>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</si>
  <si>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</si>
  <si>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</si>
  <si>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</si>
  <si>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</si>
  <si>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</si>
  <si>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</si>
  <si>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</si>
  <si>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</si>
  <si>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Termoizolacija omotača zgrade</t>
  </si>
  <si>
    <t>Projekat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</si>
  <si>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</si>
  <si>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</si>
  <si>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</si>
  <si>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</si>
  <si>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</si>
  <si>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</si>
  <si>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</si>
  <si>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</si>
  <si>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</si>
  <si>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</si>
  <si>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</si>
  <si>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</si>
  <si>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</si>
  <si>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</si>
  <si>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</si>
  <si>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</si>
  <si>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dozvole,ostalo)</t>
  </si>
  <si>
    <t>Nadzor i upravljanje projektom</t>
  </si>
  <si>
    <t>Nepredviđeni troškovi</t>
  </si>
  <si>
    <t>ESCO/DH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</si>
  <si>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</si>
  <si>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</si>
  <si>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</si>
  <si>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</si>
  <si>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</si>
  <si>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</si>
  <si>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</si>
  <si>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</si>
  <si>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Gorivo ili energija</t>
  </si>
  <si>
    <t>Kamatna stopa na sredstva iz kredita</t>
  </si>
  <si>
    <t>UNOS PODATAKA ZA PRORAČUN</t>
  </si>
  <si>
    <t>CO2 Taksa</t>
  </si>
  <si>
    <t>Konverzioni CO2 faktor - t/MWh primarne energije</t>
  </si>
  <si>
    <t>Ukupno:</t>
  </si>
  <si>
    <t>Ukupno uključujući PDV:</t>
  </si>
  <si>
    <t>UKUPNO:</t>
  </si>
  <si>
    <t>KREDIT:</t>
  </si>
  <si>
    <t>ENERGIJA I TROŠKOVI ENERGIJE</t>
  </si>
  <si>
    <t>Cena električne energije</t>
  </si>
  <si>
    <t>Cena toplote za krajnje kupce</t>
  </si>
  <si>
    <t>Efikasnost mreže daljinskog grejanja</t>
  </si>
  <si>
    <t>Broj radnih sati sa nominalnim kapacitetom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</si>
  <si>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</si>
  <si>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</si>
  <si>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</si>
  <si>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</si>
  <si>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</si>
  <si>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</si>
  <si>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</si>
  <si>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Vremenski okvri projekta</t>
  </si>
  <si>
    <t>Kredit (EUR)</t>
  </si>
  <si>
    <t>Sopstveni kapital (EUR)</t>
  </si>
  <si>
    <t>Ukupni prihod (EUR)</t>
  </si>
  <si>
    <t>Operativni troškovi (EUR/a)</t>
  </si>
  <si>
    <t>Troškovi održavanja (EUR/a)</t>
  </si>
  <si>
    <t>Ostalo (EUR/a)</t>
  </si>
  <si>
    <t>Udeo kupaca u uštedama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</si>
  <si>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</si>
  <si>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</si>
  <si>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</si>
  <si>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</si>
  <si>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</si>
  <si>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</si>
  <si>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</si>
  <si>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godišnji troškovi (EUR/a)</t>
  </si>
  <si>
    <t>GRAF / CASH FLOW / FINANSIJSKI</t>
  </si>
  <si>
    <t>GRAF / CASH FLOW / EKONOMSKI</t>
  </si>
  <si>
    <t>LCoE Proračun</t>
  </si>
  <si>
    <t>Vremenski okvir</t>
  </si>
  <si>
    <t>Investicija (EUR)</t>
  </si>
  <si>
    <t>Operativni troškovi i održavanje (EUR)</t>
  </si>
  <si>
    <t>Ukupni troškovi (EUR)</t>
  </si>
  <si>
    <t>ANALIZA OSTELJIVOSTI</t>
  </si>
  <si>
    <t>Toplotna podstanica - nabavka</t>
  </si>
  <si>
    <t>Montaža toplotne podstanice</t>
  </si>
  <si>
    <t>Rekonstrukcija postojeće instalacije</t>
  </si>
  <si>
    <t>Građevinska adaptacija prostora</t>
  </si>
  <si>
    <t>Rekonstrukcija elektro instalacije</t>
  </si>
  <si>
    <t>SCADA i upravljački sistem</t>
  </si>
  <si>
    <t>Tehnički prijem i primopredaja</t>
  </si>
  <si>
    <t>Efikasnost toplotnog izvora</t>
  </si>
  <si>
    <t>Snaga elektromotornih pogona</t>
  </si>
  <si>
    <t>Potrošnja električne energije</t>
  </si>
  <si>
    <t>Povećanje efikasnosti nakon projekta</t>
  </si>
  <si>
    <t>-</t>
  </si>
  <si>
    <t>Kapacitet toplotne podstanice</t>
  </si>
  <si>
    <t>Smanjenje gubitaka toplote</t>
  </si>
  <si>
    <t>Uštede u novcu</t>
  </si>
  <si>
    <t>EUR/a</t>
  </si>
  <si>
    <t>t/a</t>
  </si>
  <si>
    <t>Smanjenje gubitaka toplote (MWh/a)</t>
  </si>
  <si>
    <t>Smanjenje potrošnja električne energije (MWh/a)</t>
  </si>
  <si>
    <t>Uštede u novcu (EUR/a)</t>
  </si>
  <si>
    <t>Uštede toplote (MWh/a)</t>
  </si>
  <si>
    <t>Isporučena toplota</t>
  </si>
  <si>
    <t>NAZAD</t>
  </si>
  <si>
    <t>DALJE</t>
  </si>
  <si>
    <t>Nazad</t>
  </si>
  <si>
    <t>Dalje</t>
  </si>
  <si>
    <t>Miks goriva</t>
  </si>
  <si>
    <t>ESCO INVESTICIJA</t>
  </si>
  <si>
    <t>Udeo u uštedama ako gradi ESCO (EUR)</t>
  </si>
  <si>
    <t>Diskontovana vrednost udela (EUR)</t>
  </si>
  <si>
    <t>IRR(%)</t>
  </si>
  <si>
    <t>N/A</t>
  </si>
  <si>
    <t>GRAFIK / CASH FLOW / FINANSIJSKI</t>
  </si>
  <si>
    <t>REZIME PROJEKTA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</si>
  <si>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</si>
  <si>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</si>
  <si>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</si>
  <si>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</si>
  <si>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</si>
  <si>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</si>
  <si>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</si>
  <si>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</si>
  <si>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</si>
  <si>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Ukupno</t>
  </si>
  <si>
    <t>Grantovi (EUR)</t>
  </si>
  <si>
    <t>PRIHODI</t>
  </si>
  <si>
    <t>TROŠKOVI</t>
  </si>
  <si>
    <t>Kamate (EUR/a)</t>
  </si>
  <si>
    <t>Otplata glavnice (EUR/a)</t>
  </si>
  <si>
    <t>Amortizacija (EUR)</t>
  </si>
  <si>
    <t>Ukupno troškovi cash flow</t>
  </si>
  <si>
    <t>BRUTO DOBIT (EUR/a)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</si>
  <si>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</si>
  <si>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</si>
  <si>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</si>
  <si>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</si>
  <si>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</si>
  <si>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</si>
  <si>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</si>
  <si>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</si>
  <si>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</si>
  <si>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</si>
  <si>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</si>
  <si>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</si>
  <si>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</si>
  <si>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</si>
  <si>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</si>
  <si>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</si>
  <si>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</si>
  <si>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</si>
  <si>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r>
      <t>Smanjenje emisije  CO</t>
    </r>
    <r>
      <rPr>
        <vertAlign val="subscript"/>
        <sz val="11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</si>
  <si>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</si>
  <si>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</si>
  <si>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</si>
  <si>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</si>
  <si>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t>Cena toplote</t>
  </si>
  <si>
    <t>Investicije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</si>
  <si>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</si>
  <si>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</si>
  <si>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Neosetljivo</t>
  </si>
  <si>
    <t>Projekat “Bolja energija"</t>
  </si>
  <si>
    <t>ANALIZA SA UKLJUČENIM CO₂</t>
  </si>
  <si>
    <t>Toplota iz DH na gas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</si>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</sst>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[Red]#,##0.00"/>
    <numFmt numFmtId="165" formatCode="#,##0.00_ ;[Red]\-#,##0.00\ "/>
    <numFmt numFmtId="166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rgb="FF002F6C"/>
      <name val="Gill Sans MT"/>
      <family val="2"/>
    </font>
    <font>
      <sz val="11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bscript"/>
      <sz val="11"/>
      <color rgb="FFFFFF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82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0" xfId="0" applyFont="1" applyFill="1"/>
    <xf numFmtId="0" fontId="0" fillId="6" borderId="0" xfId="0" applyFill="1"/>
    <xf numFmtId="10" fontId="0" fillId="0" borderId="0" xfId="2" applyNumberFormat="1" applyFont="1"/>
    <xf numFmtId="10" fontId="10" fillId="0" borderId="0" xfId="2" applyNumberFormat="1" applyFont="1"/>
    <xf numFmtId="0" fontId="0" fillId="5" borderId="0" xfId="0" applyFill="1"/>
    <xf numFmtId="4" fontId="0" fillId="5" borderId="0" xfId="0" applyNumberFormat="1" applyFill="1"/>
    <xf numFmtId="0" fontId="11" fillId="0" borderId="0" xfId="0" applyFont="1" applyAlignment="1">
      <alignment horizontal="left"/>
    </xf>
    <xf numFmtId="0" fontId="11" fillId="9" borderId="0" xfId="0" applyFont="1" applyFill="1" applyAlignment="1">
      <alignment horizontal="left"/>
    </xf>
    <xf numFmtId="0" fontId="0" fillId="9" borderId="0" xfId="0" applyFill="1"/>
    <xf numFmtId="164" fontId="0" fillId="9" borderId="0" xfId="0" applyNumberFormat="1" applyFill="1"/>
    <xf numFmtId="10" fontId="0" fillId="9" borderId="0" xfId="0" applyNumberFormat="1" applyFill="1"/>
    <xf numFmtId="2" fontId="0" fillId="9" borderId="0" xfId="0" applyNumberFormat="1" applyFill="1"/>
    <xf numFmtId="0" fontId="0" fillId="9" borderId="0" xfId="0" applyFill="1" applyAlignment="1">
      <alignment horizontal="left"/>
    </xf>
    <xf numFmtId="4" fontId="0" fillId="9" borderId="0" xfId="0" applyNumberFormat="1" applyFill="1"/>
    <xf numFmtId="0" fontId="12" fillId="0" borderId="1" xfId="0" applyFont="1" applyBorder="1" applyAlignment="1">
      <alignment horizontal="centerContinuous"/>
    </xf>
    <xf numFmtId="0" fontId="12" fillId="0" borderId="2" xfId="0" applyFont="1" applyBorder="1" applyAlignment="1">
      <alignment horizontal="centerContinuous"/>
    </xf>
    <xf numFmtId="0" fontId="12" fillId="0" borderId="3" xfId="0" applyFont="1" applyBorder="1" applyAlignment="1">
      <alignment horizontal="center"/>
    </xf>
    <xf numFmtId="0" fontId="12" fillId="0" borderId="0" xfId="0" applyFont="1"/>
    <xf numFmtId="165" fontId="0" fillId="0" borderId="0" xfId="0" applyNumberFormat="1"/>
    <xf numFmtId="165" fontId="0" fillId="0" borderId="0" xfId="2" applyNumberFormat="1" applyFont="1"/>
    <xf numFmtId="10" fontId="0" fillId="0" borderId="0" xfId="2" applyNumberFormat="1" applyFont="1" applyAlignment="1">
      <alignment horizontal="center"/>
    </xf>
    <xf numFmtId="0" fontId="0" fillId="9" borderId="0" xfId="0" applyFill="1" applyAlignment="1">
      <alignment horizontal="right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6" fontId="11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8" fillId="0" borderId="0" xfId="0" applyFont="1"/>
    <xf numFmtId="0" fontId="14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7" borderId="0" xfId="1" applyFont="1" applyFill="1" applyAlignment="1" applyProtection="1">
      <alignment horizontal="center" vertical="distributed"/>
      <protection locked="0"/>
    </xf>
    <xf numFmtId="0" fontId="8" fillId="8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6" fillId="10" borderId="0" xfId="0" applyFont="1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" fillId="4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5" fillId="10" borderId="0" xfId="0" applyFont="1" applyFill="1" applyAlignment="1">
      <alignment horizontal="left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FinaIndikatori!$E$56:$Y$56</c:f>
              <c:numCache>
                <c:formatCode>#,##0.00</c:formatCode>
                <c:ptCount val="21"/>
                <c:pt idx="1">
                  <c:v>-33056.455033946389</c:v>
                </c:pt>
                <c:pt idx="2">
                  <c:v>-30814.518664823394</c:v>
                </c:pt>
                <c:pt idx="3">
                  <c:v>-28760.707853451899</c:v>
                </c:pt>
                <c:pt idx="4">
                  <c:v>-26882.549607191584</c:v>
                </c:pt>
                <c:pt idx="5">
                  <c:v>-25168.509910284374</c:v>
                </c:pt>
                <c:pt idx="6">
                  <c:v>-23607.927828867469</c:v>
                </c:pt>
                <c:pt idx="7">
                  <c:v>-22190.95442089736</c:v>
                </c:pt>
                <c:pt idx="8">
                  <c:v>-20908.496107920808</c:v>
                </c:pt>
                <c:pt idx="9">
                  <c:v>-17644.394656708966</c:v>
                </c:pt>
                <c:pt idx="10">
                  <c:v>-14615.085962461148</c:v>
                </c:pt>
                <c:pt idx="11">
                  <c:v>-11803.680954924253</c:v>
                </c:pt>
                <c:pt idx="12">
                  <c:v>-9194.5054254009665</c:v>
                </c:pt>
                <c:pt idx="13">
                  <c:v>-6773.012639547429</c:v>
                </c:pt>
                <c:pt idx="14">
                  <c:v>-4525.702236091347</c:v>
                </c:pt>
                <c:pt idx="15">
                  <c:v>-2440.0449593128942</c:v>
                </c:pt>
                <c:pt idx="16">
                  <c:v>-504.41280565525813</c:v>
                </c:pt>
                <c:pt idx="17">
                  <c:v>1291.9858049834438</c:v>
                </c:pt>
                <c:pt idx="18">
                  <c:v>2959.1661947112734</c:v>
                </c:pt>
                <c:pt idx="19">
                  <c:v>4506.4232652924984</c:v>
                </c:pt>
                <c:pt idx="20">
                  <c:v>5942.3833192938764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05-4256-BF30-7F6ACEDBF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3184"/>
        <c:axId val="223504064"/>
      </c:barChart>
      <c:lineChart>
        <c:grouping val="standard"/>
        <c:varyColors val="0"/>
        <c:ser>
          <c:idx val="0"/>
          <c:order val="0"/>
          <c:tx>
            <c:strRef>
              <c:f>FinaIndikatori!$A$59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FinaIndikatori!$E$59:$Y$59</c:f>
              <c:numCache>
                <c:formatCode>#,##0.00</c:formatCode>
                <c:ptCount val="21"/>
                <c:pt idx="0">
                  <c:v>35500</c:v>
                </c:pt>
                <c:pt idx="1">
                  <c:v>40039.644177034832</c:v>
                </c:pt>
                <c:pt idx="2">
                  <c:v>44278.583448857673</c:v>
                </c:pt>
                <c:pt idx="3">
                  <c:v>48239.46710054193</c:v>
                </c:pt>
                <c:pt idx="4">
                  <c:v>51943.35539986752</c:v>
                </c:pt>
                <c:pt idx="5">
                  <c:v>55409.835483055198</c:v>
                </c:pt>
                <c:pt idx="6">
                  <c:v>58657.128967129021</c:v>
                </c:pt>
                <c:pt idx="7">
                  <c:v>61702.191886490415</c:v>
                </c:pt>
                <c:pt idx="8">
                  <c:v>64560.807508399244</c:v>
                </c:pt>
                <c:pt idx="9">
                  <c:v>65139.905008560054</c:v>
                </c:pt>
                <c:pt idx="10">
                  <c:v>65677.34697176957</c:v>
                </c:pt>
                <c:pt idx="11">
                  <c:v>66176.129756599912</c:v>
                </c:pt>
                <c:pt idx="12">
                  <c:v>66639.034188098725</c:v>
                </c:pt>
                <c:pt idx="13">
                  <c:v>67068.64106150782</c:v>
                </c:pt>
                <c:pt idx="14">
                  <c:v>67467.345530771068</c:v>
                </c:pt>
                <c:pt idx="15">
                  <c:v>67837.370462050763</c:v>
                </c:pt>
                <c:pt idx="16">
                  <c:v>68180.77882670128</c:v>
                </c:pt>
                <c:pt idx="17">
                  <c:v>68499.485202793541</c:v>
                </c:pt>
                <c:pt idx="18">
                  <c:v>68795.266449313945</c:v>
                </c:pt>
                <c:pt idx="19">
                  <c:v>69069.771612548706</c:v>
                </c:pt>
                <c:pt idx="20">
                  <c:v>69324.531119883948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05-4256-BF30-7F6ACEDBFA59}"/>
            </c:ext>
          </c:extLst>
        </c:ser>
        <c:ser>
          <c:idx val="1"/>
          <c:order val="1"/>
          <c:tx>
            <c:strRef>
              <c:f>FinaIndikatori!$A$60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FinaIndikatori!$E$60:$Y$60</c:f>
              <c:numCache>
                <c:formatCode>#,##0.00</c:formatCode>
                <c:ptCount val="21"/>
                <c:pt idx="1">
                  <c:v>6983.1891430884407</c:v>
                </c:pt>
                <c:pt idx="2">
                  <c:v>13464.064784034277</c:v>
                </c:pt>
                <c:pt idx="3">
                  <c:v>19478.759247090031</c:v>
                </c:pt>
                <c:pt idx="4">
                  <c:v>25060.805792675936</c:v>
                </c:pt>
                <c:pt idx="5">
                  <c:v>30241.325572770824</c:v>
                </c:pt>
                <c:pt idx="6">
                  <c:v>35049.201138261553</c:v>
                </c:pt>
                <c:pt idx="7">
                  <c:v>39511.237465593054</c:v>
                </c:pt>
                <c:pt idx="8">
                  <c:v>43652.311400478437</c:v>
                </c:pt>
                <c:pt idx="9">
                  <c:v>47495.510351851088</c:v>
                </c:pt>
                <c:pt idx="10">
                  <c:v>51062.261009308422</c:v>
                </c:pt>
                <c:pt idx="11">
                  <c:v>54372.448801675659</c:v>
                </c:pt>
                <c:pt idx="12">
                  <c:v>57444.528762697759</c:v>
                </c:pt>
                <c:pt idx="13">
                  <c:v>60295.628421960391</c:v>
                </c:pt>
                <c:pt idx="14">
                  <c:v>62941.643294679721</c:v>
                </c:pt>
                <c:pt idx="15">
                  <c:v>65397.325502737869</c:v>
                </c:pt>
                <c:pt idx="16">
                  <c:v>67676.366021046022</c:v>
                </c:pt>
                <c:pt idx="17">
                  <c:v>69791.471007776985</c:v>
                </c:pt>
                <c:pt idx="18">
                  <c:v>71754.432644025219</c:v>
                </c:pt>
                <c:pt idx="19">
                  <c:v>73576.194877841204</c:v>
                </c:pt>
                <c:pt idx="20">
                  <c:v>75266.914439177825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205-4256-BF30-7F6ACEDBF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3184"/>
        <c:axId val="223504064"/>
      </c:lineChart>
      <c:catAx>
        <c:axId val="167773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4064"/>
        <c:crosses val="autoZero"/>
        <c:auto val="1"/>
        <c:lblAlgn val="ctr"/>
        <c:lblOffset val="100"/>
        <c:noMultiLvlLbl val="0"/>
      </c:catAx>
      <c:valAx>
        <c:axId val="22350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'FinInd+CO2'!$E$58:$Y$58</c:f>
              <c:numCache>
                <c:formatCode>#,##0.00</c:formatCode>
                <c:ptCount val="21"/>
                <c:pt idx="1">
                  <c:v>-32260.119969439118</c:v>
                </c:pt>
                <c:pt idx="2">
                  <c:v>-29279.130366063655</c:v>
                </c:pt>
                <c:pt idx="3">
                  <c:v>-26539.4277644104</c:v>
                </c:pt>
                <c:pt idx="4">
                  <c:v>-24024.715172438089</c:v>
                </c:pt>
                <c:pt idx="5">
                  <c:v>-21719.909642223014</c:v>
                </c:pt>
                <c:pt idx="6">
                  <c:v>-19611.056588885294</c:v>
                </c:pt>
                <c:pt idx="7">
                  <c:v>-17685.250337675338</c:v>
                </c:pt>
                <c:pt idx="8">
                  <c:v>-15930.560453779617</c:v>
                </c:pt>
                <c:pt idx="9">
                  <c:v>-12228.19590784912</c:v>
                </c:pt>
                <c:pt idx="10">
                  <c:v>-8792.1491807787388</c:v>
                </c:pt>
                <c:pt idx="11">
                  <c:v>-5603.2635472480688</c:v>
                </c:pt>
                <c:pt idx="12">
                  <c:v>-2643.7602600478567</c:v>
                </c:pt>
                <c:pt idx="13">
                  <c:v>102.86057039297884</c:v>
                </c:pt>
                <c:pt idx="14">
                  <c:v>2651.911966564352</c:v>
                </c:pt>
                <c:pt idx="15">
                  <c:v>5017.6054573839065</c:v>
                </c:pt>
                <c:pt idx="16">
                  <c:v>7213.1303106339474</c:v>
                </c:pt>
                <c:pt idx="17">
                  <c:v>9250.7270660651411</c:v>
                </c:pt>
                <c:pt idx="18">
                  <c:v>11141.755779130181</c:v>
                </c:pt>
                <c:pt idx="19">
                  <c:v>12896.75935582153</c:v>
                </c:pt>
                <c:pt idx="20">
                  <c:v>14525.52233171901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F3-4986-A551-F17952E6D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5863808"/>
        <c:axId val="223508672"/>
      </c:barChart>
      <c:lineChart>
        <c:grouping val="standard"/>
        <c:varyColors val="0"/>
        <c:ser>
          <c:idx val="0"/>
          <c:order val="0"/>
          <c:tx>
            <c:strRef>
              <c:f>'FinInd+CO2'!$A$61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'FinInd+CO2'!$E$61:$Y$61</c:f>
              <c:numCache>
                <c:formatCode>#,##0.00</c:formatCode>
                <c:ptCount val="21"/>
                <c:pt idx="0">
                  <c:v>35500</c:v>
                </c:pt>
                <c:pt idx="1">
                  <c:v>40180.173894300824</c:v>
                </c:pt>
                <c:pt idx="2">
                  <c:v>44549.534325109395</c:v>
                </c:pt>
                <c:pt idx="3">
                  <c:v>48631.457704490429</c:v>
                </c:pt>
                <c:pt idx="4">
                  <c:v>52447.679123647547</c:v>
                </c:pt>
                <c:pt idx="5">
                  <c:v>56018.412000948381</c:v>
                </c:pt>
                <c:pt idx="6">
                  <c:v>59362.45918594941</c:v>
                </c:pt>
                <c:pt idx="7">
                  <c:v>62497.316136470778</c:v>
                </c:pt>
                <c:pt idx="8">
                  <c:v>65439.266741482992</c:v>
                </c:pt>
                <c:pt idx="9">
                  <c:v>66095.704787770621</c:v>
                </c:pt>
                <c:pt idx="10">
                  <c:v>66704.924050889997</c:v>
                </c:pt>
                <c:pt idx="11">
                  <c:v>67270.321063836891</c:v>
                </c:pt>
                <c:pt idx="12">
                  <c:v>67795.048040808106</c:v>
                </c:pt>
                <c:pt idx="13">
                  <c:v>68282.03045149731</c:v>
                </c:pt>
                <c:pt idx="14">
                  <c:v>68733.983331239724</c:v>
                </c:pt>
                <c:pt idx="15">
                  <c:v>69153.426417938434</c:v>
                </c:pt>
                <c:pt idx="16">
                  <c:v>69542.698200164072</c:v>
                </c:pt>
                <c:pt idx="17">
                  <c:v>69903.968954749129</c:v>
                </c:pt>
                <c:pt idx="18">
                  <c:v>70239.252846564341</c:v>
                </c:pt>
                <c:pt idx="19">
                  <c:v>70550.41915793618</c:v>
                </c:pt>
                <c:pt idx="20">
                  <c:v>70839.202710311918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DF3-4986-A551-F17952E6D0F9}"/>
            </c:ext>
          </c:extLst>
        </c:ser>
        <c:ser>
          <c:idx val="1"/>
          <c:order val="1"/>
          <c:tx>
            <c:strRef>
              <c:f>'FinInd+CO2'!$A$62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'FinInd+CO2'!$E$62:$Y$62</c:f>
              <c:numCache>
                <c:formatCode>#,##0.00</c:formatCode>
                <c:ptCount val="21"/>
                <c:pt idx="1">
                  <c:v>7920.0539248617051</c:v>
                </c:pt>
                <c:pt idx="2">
                  <c:v>15270.40395904574</c:v>
                </c:pt>
                <c:pt idx="3">
                  <c:v>22092.029940080029</c:v>
                </c:pt>
                <c:pt idx="4">
                  <c:v>28422.963951209458</c:v>
                </c:pt>
                <c:pt idx="5">
                  <c:v>34298.502358725367</c:v>
                </c:pt>
                <c:pt idx="6">
                  <c:v>39751.402597064116</c:v>
                </c:pt>
                <c:pt idx="7">
                  <c:v>44812.06579879544</c:v>
                </c:pt>
                <c:pt idx="8">
                  <c:v>49508.706287703375</c:v>
                </c:pt>
                <c:pt idx="9">
                  <c:v>53867.508879921501</c:v>
                </c:pt>
                <c:pt idx="10">
                  <c:v>57912.774870111258</c:v>
                </c:pt>
                <c:pt idx="11">
                  <c:v>61667.057516588822</c:v>
                </c:pt>
                <c:pt idx="12">
                  <c:v>65151.287780760249</c:v>
                </c:pt>
                <c:pt idx="13">
                  <c:v>68384.891021890289</c:v>
                </c:pt>
                <c:pt idx="14">
                  <c:v>71385.895297804076</c:v>
                </c:pt>
                <c:pt idx="15">
                  <c:v>74171.03187532234</c:v>
                </c:pt>
                <c:pt idx="16">
                  <c:v>76755.828510798019</c:v>
                </c:pt>
                <c:pt idx="17">
                  <c:v>79154.69602081427</c:v>
                </c:pt>
                <c:pt idx="18">
                  <c:v>81381.008625694521</c:v>
                </c:pt>
                <c:pt idx="19">
                  <c:v>83447.17851375771</c:v>
                </c:pt>
                <c:pt idx="20">
                  <c:v>85364.725042030928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DF3-4986-A551-F17952E6D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5863808"/>
        <c:axId val="223508672"/>
      </c:lineChart>
      <c:catAx>
        <c:axId val="175863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8672"/>
        <c:crosses val="autoZero"/>
        <c:auto val="1"/>
        <c:lblAlgn val="ctr"/>
        <c:lblOffset val="100"/>
        <c:noMultiLvlLbl val="0"/>
      </c:catAx>
      <c:valAx>
        <c:axId val="22350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3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Osetljivost!$A$15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Osetljivost!$A$16:$A$17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Osetljivost!$B$16:$B$17</c:f>
              <c:numCache>
                <c:formatCode>#.##000_ ;[Red]\-#.##000\ </c:formatCode>
                <c:ptCount val="2"/>
                <c:pt idx="0">
                  <c:v>-11865.408681680658</c:v>
                </c:pt>
                <c:pt idx="1">
                  <c:v>-11987.449118985218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38A-408F-9AE9-91E22A925546}"/>
            </c:ext>
          </c:extLst>
        </c:ser>
        <c:ser>
          <c:idx val="1"/>
          <c:order val="1"/>
          <c:tx>
            <c:strRef>
              <c:f>Osetljivost!$A$20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Osetljivost!$B$21:$B$22</c:f>
              <c:numCache>
                <c:formatCode>#.##000_ ;[Red]\-#.##000\ </c:formatCode>
                <c:ptCount val="2"/>
                <c:pt idx="0">
                  <c:v>-7466.1951438121951</c:v>
                </c:pt>
                <c:pt idx="1">
                  <c:v>-16468.561773974696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38A-408F-9AE9-91E22A925546}"/>
            </c:ext>
          </c:extLst>
        </c:ser>
        <c:ser>
          <c:idx val="2"/>
          <c:order val="2"/>
          <c:tx>
            <c:strRef>
              <c:f>Osetljivost!$A$25</c:f>
              <c:strCache>
                <c:ptCount val="1"/>
                <c:pt idx="0">
                  <c:v>Povećanje efikasnosti nakon projekta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Osetljivost!$B$26:$B$27</c:f>
              <c:numCache>
                <c:formatCode>#.##000_ ;[Red]\-#.##000\ </c:formatCode>
                <c:ptCount val="2"/>
                <c:pt idx="0">
                  <c:v>-7406.0648588493805</c:v>
                </c:pt>
                <c:pt idx="1">
                  <c:v>-16530.616239428276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38A-408F-9AE9-91E22A925546}"/>
            </c:ext>
          </c:extLst>
        </c:ser>
        <c:ser>
          <c:idx val="3"/>
          <c:order val="3"/>
          <c:tx>
            <c:strRef>
              <c:f>Osetljivost!$A$30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Osetljivost!$B$31:$B$32</c:f>
              <c:numCache>
                <c:formatCode>#.##000_ ;[Red]\-#.##000\ </c:formatCode>
                <c:ptCount val="2"/>
                <c:pt idx="0">
                  <c:v>-20019.912018951578</c:v>
                </c:pt>
                <c:pt idx="1">
                  <c:v>-3503.2893980179219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38A-408F-9AE9-91E22A9255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357568"/>
        <c:axId val="68833216"/>
      </c:lineChart>
      <c:catAx>
        <c:axId val="6935756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33216"/>
        <c:crosses val="autoZero"/>
        <c:auto val="1"/>
        <c:lblAlgn val="ctr"/>
        <c:lblOffset val="100"/>
        <c:noMultiLvlLbl val="0"/>
      </c:catAx>
      <c:valAx>
        <c:axId val="6883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57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[1]FinaIndikatori!$A$37</c:f>
              <c:strCache>
                <c:ptCount val="1"/>
                <c:pt idx="0">
                  <c:v>Dobit nakon oporezivanja (EUR/a)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[1]FinaIndikatori!$E$37:$Y$37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80-4CFD-A05F-A15F2489F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740032"/>
        <c:axId val="68952640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[1]AkoESCO!$F$7:$Y$7</c:f>
              <c:numCache>
                <c:formatCode>General</c:formatCode>
                <c:ptCount val="20"/>
                <c:pt idx="3">
                  <c:v>0</c:v>
                </c:pt>
                <c:pt idx="8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D80-4CFD-A05F-A15F2489F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740032"/>
        <c:axId val="6895264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[1]FinaIndikatori!$E$3:$Y$3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[1]FinaIndikatori!$E$39:$Y$39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CD80-4CFD-A05F-A15F2489FB57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D80-4CFD-A05F-A15F2489FB57}"/>
                  </c:ext>
                </c:extLst>
              </c15:ser>
            </c15:filteredLineSeries>
          </c:ext>
        </c:extLst>
      </c:lineChart>
      <c:catAx>
        <c:axId val="69740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52640"/>
        <c:crosses val="autoZero"/>
        <c:auto val="1"/>
        <c:lblAlgn val="ctr"/>
        <c:lblOffset val="100"/>
        <c:noMultiLvlLbl val="0"/>
      </c:catAx>
      <c:valAx>
        <c:axId val="6895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740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Pocetna!M9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3.png"/><Relationship Id="rId1" Type="http://schemas.openxmlformats.org/officeDocument/2006/relationships/hyperlink" Target="#Pocetna!M9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447675</xdr:colOff>
      <xdr:row>0</xdr:row>
      <xdr:rowOff>104775</xdr:rowOff>
    </xdr:from>
    <xdr:to>
      <xdr:col>4</xdr:col>
      <xdr:colOff>307975</xdr:colOff>
      <xdr:row>5</xdr:row>
      <xdr:rowOff>56698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590550</xdr:colOff>
      <xdr:row>0</xdr:row>
      <xdr:rowOff>133350</xdr:rowOff>
    </xdr:from>
    <xdr:to>
      <xdr:col>12</xdr:col>
      <xdr:colOff>560070</xdr:colOff>
      <xdr:row>3</xdr:row>
      <xdr:rowOff>140970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0" y="1333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28575</xdr:rowOff>
    </xdr:from>
    <xdr:to>
      <xdr:col>2</xdr:col>
      <xdr:colOff>219875</xdr:colOff>
      <xdr:row>14</xdr:row>
      <xdr:rowOff>37753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1715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19050</xdr:colOff>
      <xdr:row>0</xdr:row>
      <xdr:rowOff>0</xdr:rowOff>
    </xdr:from>
    <xdr:to>
      <xdr:col>3</xdr:col>
      <xdr:colOff>488950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200025</xdr:colOff>
      <xdr:row>6</xdr:row>
      <xdr:rowOff>85725</xdr:rowOff>
    </xdr:from>
    <xdr:to>
      <xdr:col>11</xdr:col>
      <xdr:colOff>638975</xdr:colOff>
      <xdr:row>8</xdr:row>
      <xdr:rowOff>47278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20050" y="857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35</xdr:row>
      <xdr:rowOff>0</xdr:rowOff>
    </xdr:from>
    <xdr:to>
      <xdr:col>2</xdr:col>
      <xdr:colOff>534200</xdr:colOff>
      <xdr:row>37</xdr:row>
      <xdr:rowOff>9178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573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441325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6</xdr:col>
      <xdr:colOff>561975</xdr:colOff>
      <xdr:row>16</xdr:row>
      <xdr:rowOff>157162</xdr:rowOff>
    </xdr:from>
    <xdr:to>
      <xdr:col>14</xdr:col>
      <xdr:colOff>257175</xdr:colOff>
      <xdr:row>31</xdr:row>
      <xdr:rowOff>42862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EEAA203C-48D9-4C77-29A6-B6EF40F6EC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0</xdr:row>
      <xdr:rowOff>0</xdr:rowOff>
    </xdr:from>
    <xdr:to>
      <xdr:col>11</xdr:col>
      <xdr:colOff>524675</xdr:colOff>
      <xdr:row>2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0"/>
          <a:ext cx="438950" cy="390178"/>
        </a:xfrm>
        <a:prstGeom prst="rect">
          <a:avLst/>
        </a:prstGeom>
      </xdr:spPr>
    </xdr:pic>
    <xdr:clientData fLock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4</xdr:row>
      <xdr:rowOff>0</xdr:rowOff>
    </xdr:from>
    <xdr:to>
      <xdr:col>2</xdr:col>
      <xdr:colOff>534200</xdr:colOff>
      <xdr:row>6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>
    <xdr:from>
      <xdr:col>6</xdr:col>
      <xdr:colOff>0</xdr:colOff>
      <xdr:row>4</xdr:row>
      <xdr:rowOff>0</xdr:rowOff>
    </xdr:from>
    <xdr:to>
      <xdr:col>16</xdr:col>
      <xdr:colOff>561975</xdr:colOff>
      <xdr:row>24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19</xdr:row>
      <xdr:rowOff>0</xdr:rowOff>
    </xdr:from>
    <xdr:to>
      <xdr:col>3</xdr:col>
      <xdr:colOff>524675</xdr:colOff>
      <xdr:row>21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14525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9525</xdr:colOff>
      <xdr:row>0</xdr:row>
      <xdr:rowOff>152400</xdr:rowOff>
    </xdr:from>
    <xdr:to>
      <xdr:col>8</xdr:col>
      <xdr:colOff>588645</xdr:colOff>
      <xdr:row>3</xdr:row>
      <xdr:rowOff>160020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1524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1</xdr:col>
      <xdr:colOff>0</xdr:colOff>
      <xdr:row>0</xdr:row>
      <xdr:rowOff>0</xdr:rowOff>
    </xdr:from>
    <xdr:to>
      <xdr:col>4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85725</xdr:colOff>
      <xdr:row>11</xdr:row>
      <xdr:rowOff>0</xdr:rowOff>
    </xdr:from>
    <xdr:to>
      <xdr:col>15</xdr:col>
      <xdr:colOff>524675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105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428625</xdr:colOff>
      <xdr:row>0</xdr:row>
      <xdr:rowOff>123825</xdr:rowOff>
    </xdr:from>
    <xdr:to>
      <xdr:col>4</xdr:col>
      <xdr:colOff>288925</xdr:colOff>
      <xdr:row>5</xdr:row>
      <xdr:rowOff>75748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238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14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0</xdr:rowOff>
    </xdr:from>
    <xdr:to>
      <xdr:col>10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438150</xdr:colOff>
      <xdr:row>0</xdr:row>
      <xdr:rowOff>85725</xdr:rowOff>
    </xdr:from>
    <xdr:to>
      <xdr:col>2</xdr:col>
      <xdr:colOff>1517650</xdr:colOff>
      <xdr:row>5</xdr:row>
      <xdr:rowOff>37648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857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250026</xdr:colOff>
      <xdr:row>6</xdr:row>
      <xdr:rowOff>23812</xdr:rowOff>
    </xdr:from>
    <xdr:to>
      <xdr:col>11</xdr:col>
      <xdr:colOff>688976</xdr:colOff>
      <xdr:row>7</xdr:row>
      <xdr:rowOff>152053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6932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154781</xdr:colOff>
      <xdr:row>0</xdr:row>
      <xdr:rowOff>142875</xdr:rowOff>
    </xdr:from>
    <xdr:to>
      <xdr:col>3</xdr:col>
      <xdr:colOff>631825</xdr:colOff>
      <xdr:row>5</xdr:row>
      <xdr:rowOff>90035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" y="1428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250026</xdr:colOff>
      <xdr:row>6</xdr:row>
      <xdr:rowOff>11906</xdr:rowOff>
    </xdr:from>
    <xdr:to>
      <xdr:col>11</xdr:col>
      <xdr:colOff>688976</xdr:colOff>
      <xdr:row>7</xdr:row>
      <xdr:rowOff>140146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5026" y="11906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495300</xdr:colOff>
      <xdr:row>0</xdr:row>
      <xdr:rowOff>88900</xdr:rowOff>
    </xdr:from>
    <xdr:to>
      <xdr:col>3</xdr:col>
      <xdr:colOff>965200</xdr:colOff>
      <xdr:row>5</xdr:row>
      <xdr:rowOff>34473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889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11</xdr:col>
      <xdr:colOff>579120</xdr:colOff>
      <xdr:row>4</xdr:row>
      <xdr:rowOff>1270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615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14</xdr:row>
      <xdr:rowOff>0</xdr:rowOff>
    </xdr:from>
    <xdr:to>
      <xdr:col>2</xdr:col>
      <xdr:colOff>219875</xdr:colOff>
      <xdr:row>16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390525</xdr:colOff>
      <xdr:row>0</xdr:row>
      <xdr:rowOff>95250</xdr:rowOff>
    </xdr:from>
    <xdr:to>
      <xdr:col>4</xdr:col>
      <xdr:colOff>250825</xdr:colOff>
      <xdr:row>5</xdr:row>
      <xdr:rowOff>47173</xdr:rowOff>
    </xdr:to>
    <xdr:pic>
      <xdr:nvPicPr>
        <xdr:cNvPr id="5" name="Picture 4" descr="USAID_Horiz_Serbian_RGB_2-Color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>
        <row r="7">
          <cell r="I7" t="str">
            <v>NAZAD</v>
          </cell>
          <cell r="J7"/>
          <cell r="N7" t="str">
            <v>DALJE</v>
          </cell>
          <cell r="O7"/>
        </row>
      </sheetData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C38" sqref="C38"/>
    </sheetView>
  </sheetViews>
  <sheetFormatPr defaultRowHeight="15" x14ac:dyDescent="0.25"/>
  <sheetData>
    <row r="3" spans="2:18" ht="16.5" x14ac:dyDescent="0.35">
      <c r="G3" s="58" t="s">
        <v>188</v>
      </c>
      <c r="H3" s="58"/>
      <c r="I3" s="58"/>
      <c r="J3" s="58"/>
    </row>
    <row r="7" spans="2:18" x14ac:dyDescent="0.25">
      <c r="B7" s="59" t="s">
        <v>0</v>
      </c>
      <c r="C7" s="59"/>
      <c r="D7" s="59"/>
      <c r="E7" s="59"/>
      <c r="F7" s="59"/>
      <c r="G7" s="59"/>
      <c r="H7" s="59"/>
      <c r="I7" s="59"/>
      <c r="J7" s="59"/>
      <c r="K7" s="59"/>
    </row>
    <row r="8" spans="2:18" x14ac:dyDescent="0.25">
      <c r="B8" s="59"/>
      <c r="C8" s="59"/>
      <c r="D8" s="59"/>
      <c r="E8" s="59"/>
      <c r="F8" s="59"/>
      <c r="G8" s="59"/>
      <c r="H8" s="59"/>
      <c r="I8" s="59"/>
      <c r="J8" s="59"/>
      <c r="K8" s="59"/>
    </row>
    <row r="9" spans="2:18" x14ac:dyDescent="0.25">
      <c r="B9" s="59"/>
      <c r="C9" s="59"/>
      <c r="D9" s="59"/>
      <c r="E9" s="59"/>
      <c r="F9" s="59"/>
      <c r="G9" s="59"/>
      <c r="H9" s="59"/>
      <c r="I9" s="59"/>
      <c r="J9" s="59"/>
      <c r="K9" s="59"/>
      <c r="M9" s="60" t="s">
        <v>2</v>
      </c>
      <c r="N9" s="60"/>
      <c r="O9" s="60"/>
      <c r="P9" s="60"/>
      <c r="Q9" s="60"/>
      <c r="R9" s="60"/>
    </row>
    <row r="10" spans="2:18" x14ac:dyDescent="0.25">
      <c r="B10" s="59"/>
      <c r="C10" s="59"/>
      <c r="D10" s="59"/>
      <c r="E10" s="59"/>
      <c r="F10" s="59"/>
      <c r="G10" s="59"/>
      <c r="H10" s="59"/>
      <c r="I10" s="59"/>
      <c r="J10" s="59"/>
      <c r="K10" s="59"/>
      <c r="M10" s="60"/>
      <c r="N10" s="60"/>
      <c r="O10" s="60"/>
      <c r="P10" s="60"/>
      <c r="Q10" s="60"/>
      <c r="R10" s="60"/>
    </row>
    <row r="11" spans="2:18" x14ac:dyDescent="0.25">
      <c r="B11" s="59"/>
      <c r="C11" s="59"/>
      <c r="D11" s="59"/>
      <c r="E11" s="59"/>
      <c r="F11" s="59"/>
      <c r="G11" s="59"/>
      <c r="H11" s="59"/>
      <c r="I11" s="59"/>
      <c r="J11" s="59"/>
      <c r="K11" s="59"/>
    </row>
    <row r="12" spans="2:18" x14ac:dyDescent="0.25">
      <c r="B12" s="59"/>
      <c r="C12" s="59"/>
      <c r="D12" s="59"/>
      <c r="E12" s="59"/>
      <c r="F12" s="59"/>
      <c r="G12" s="59"/>
      <c r="H12" s="59"/>
      <c r="I12" s="59"/>
      <c r="J12" s="59"/>
      <c r="K12" s="59"/>
      <c r="M12" s="61" t="s">
        <v>37</v>
      </c>
      <c r="N12" s="61"/>
      <c r="O12" s="61"/>
      <c r="P12" s="61"/>
      <c r="Q12" s="61"/>
      <c r="R12" s="61"/>
    </row>
    <row r="13" spans="2:18" x14ac:dyDescent="0.25">
      <c r="B13" s="59"/>
      <c r="C13" s="59"/>
      <c r="D13" s="59"/>
      <c r="E13" s="59"/>
      <c r="F13" s="59"/>
      <c r="G13" s="59"/>
      <c r="H13" s="59"/>
      <c r="I13" s="59"/>
      <c r="J13" s="59"/>
      <c r="K13" s="59"/>
    </row>
    <row r="14" spans="2:18" x14ac:dyDescent="0.25">
      <c r="B14" s="59"/>
      <c r="C14" s="59"/>
      <c r="D14" s="59"/>
      <c r="E14" s="59"/>
      <c r="F14" s="59"/>
      <c r="G14" s="59"/>
      <c r="H14" s="59"/>
      <c r="I14" s="59"/>
      <c r="J14" s="59"/>
      <c r="K14" s="59"/>
      <c r="M14" s="62" t="s">
        <v>130</v>
      </c>
      <c r="N14" s="62"/>
      <c r="Q14" s="63" t="s">
        <v>131</v>
      </c>
      <c r="R14" s="63"/>
    </row>
    <row r="15" spans="2:18" x14ac:dyDescent="0.25">
      <c r="B15" s="59"/>
      <c r="C15" s="59"/>
      <c r="D15" s="59"/>
      <c r="E15" s="59"/>
      <c r="F15" s="59"/>
      <c r="G15" s="59"/>
      <c r="H15" s="59"/>
      <c r="I15" s="59"/>
      <c r="J15" s="59"/>
      <c r="K15" s="59"/>
      <c r="M15" s="62"/>
      <c r="N15" s="62"/>
      <c r="Q15" s="63"/>
      <c r="R15" s="63"/>
    </row>
    <row r="16" spans="2:18" x14ac:dyDescent="0.25">
      <c r="B16" s="59"/>
      <c r="C16" s="59"/>
      <c r="D16" s="59"/>
      <c r="E16" s="59"/>
      <c r="F16" s="59"/>
      <c r="G16" s="59"/>
      <c r="H16" s="59"/>
      <c r="I16" s="59"/>
      <c r="J16" s="59"/>
      <c r="K16" s="59"/>
    </row>
    <row r="17" spans="2:11" x14ac:dyDescent="0.25">
      <c r="B17" s="59"/>
      <c r="C17" s="59"/>
      <c r="D17" s="59"/>
      <c r="E17" s="59"/>
      <c r="F17" s="59"/>
      <c r="G17" s="59"/>
      <c r="H17" s="59"/>
      <c r="I17" s="59"/>
      <c r="J17" s="59"/>
      <c r="K17" s="59"/>
    </row>
    <row r="18" spans="2:11" x14ac:dyDescent="0.25">
      <c r="B18" s="59"/>
      <c r="C18" s="59"/>
      <c r="D18" s="59"/>
      <c r="E18" s="59"/>
      <c r="F18" s="59"/>
      <c r="G18" s="59"/>
      <c r="H18" s="59"/>
      <c r="I18" s="59"/>
      <c r="J18" s="59"/>
      <c r="K18" s="59"/>
    </row>
    <row r="19" spans="2:11" x14ac:dyDescent="0.25">
      <c r="B19" s="59"/>
      <c r="C19" s="59"/>
      <c r="D19" s="59"/>
      <c r="E19" s="59"/>
      <c r="F19" s="59"/>
      <c r="G19" s="59"/>
      <c r="H19" s="59"/>
      <c r="I19" s="59"/>
      <c r="J19" s="59"/>
      <c r="K19" s="59"/>
    </row>
    <row r="20" spans="2:11" x14ac:dyDescent="0.25">
      <c r="B20" s="59"/>
      <c r="C20" s="59"/>
      <c r="D20" s="59"/>
      <c r="E20" s="59"/>
      <c r="F20" s="59"/>
      <c r="G20" s="59"/>
      <c r="H20" s="59"/>
      <c r="I20" s="59"/>
      <c r="J20" s="59"/>
      <c r="K20" s="59"/>
    </row>
    <row r="21" spans="2:11" x14ac:dyDescent="0.25">
      <c r="B21" s="59"/>
      <c r="C21" s="59"/>
      <c r="D21" s="59"/>
      <c r="E21" s="59"/>
      <c r="F21" s="59"/>
      <c r="G21" s="59"/>
      <c r="H21" s="59"/>
      <c r="I21" s="59"/>
      <c r="J21" s="59"/>
      <c r="K21" s="59"/>
    </row>
    <row r="22" spans="2:11" x14ac:dyDescent="0.25">
      <c r="B22" s="59"/>
      <c r="C22" s="59"/>
      <c r="D22" s="59"/>
      <c r="E22" s="59"/>
      <c r="F22" s="59"/>
      <c r="G22" s="59"/>
      <c r="H22" s="59"/>
      <c r="I22" s="59"/>
      <c r="J22" s="59"/>
      <c r="K22" s="59"/>
    </row>
    <row r="23" spans="2:11" x14ac:dyDescent="0.25">
      <c r="B23" s="59"/>
      <c r="C23" s="59"/>
      <c r="D23" s="59"/>
      <c r="E23" s="59"/>
      <c r="F23" s="59"/>
      <c r="G23" s="59"/>
      <c r="H23" s="59"/>
      <c r="I23" s="59"/>
      <c r="J23" s="59"/>
      <c r="K23" s="59"/>
    </row>
    <row r="24" spans="2:11" x14ac:dyDescent="0.25">
      <c r="B24" s="59"/>
      <c r="C24" s="59"/>
      <c r="D24" s="59"/>
      <c r="E24" s="59"/>
      <c r="F24" s="59"/>
      <c r="G24" s="59"/>
      <c r="H24" s="59"/>
      <c r="I24" s="59"/>
      <c r="J24" s="59"/>
      <c r="K24" s="59"/>
    </row>
  </sheetData>
  <sheetProtection selectLockedCells="1"/>
  <mergeCells count="6">
    <mergeCell ref="G3:J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J12"/>
  <sheetViews>
    <sheetView workbookViewId="0"/>
  </sheetViews>
  <sheetFormatPr defaultRowHeight="15" x14ac:dyDescent="0.25"/>
  <sheetData>
    <row r="3" spans="1:10" ht="16.5" x14ac:dyDescent="0.35">
      <c r="G3" s="58" t="s">
        <v>188</v>
      </c>
      <c r="H3" s="58"/>
      <c r="I3" s="58"/>
      <c r="J3" s="58"/>
    </row>
    <row r="7" spans="1:10" ht="15" customHeight="1" x14ac:dyDescent="0.25">
      <c r="A7" s="60" t="s">
        <v>101</v>
      </c>
      <c r="B7" s="60"/>
      <c r="C7" s="60"/>
      <c r="D7" s="60"/>
    </row>
    <row r="8" spans="1:10" ht="15" customHeight="1" x14ac:dyDescent="0.25">
      <c r="A8" s="60"/>
      <c r="B8" s="60"/>
      <c r="C8" s="60"/>
      <c r="D8" s="60"/>
    </row>
    <row r="9" spans="1:10" x14ac:dyDescent="0.25">
      <c r="A9" s="60"/>
      <c r="B9" s="60"/>
      <c r="C9" s="60"/>
      <c r="D9" s="60"/>
    </row>
    <row r="11" spans="1:10" x14ac:dyDescent="0.25">
      <c r="A11" s="62" t="s">
        <v>132</v>
      </c>
      <c r="B11" s="62"/>
      <c r="C11" s="63" t="s">
        <v>133</v>
      </c>
      <c r="D11" s="63"/>
    </row>
    <row r="12" spans="1:10" x14ac:dyDescent="0.25">
      <c r="A12" s="62"/>
      <c r="B12" s="62"/>
      <c r="C12" s="63"/>
      <c r="D12" s="63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Graf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:AB21"/>
  <sheetViews>
    <sheetView workbookViewId="0"/>
  </sheetViews>
  <sheetFormatPr defaultRowHeight="15" x14ac:dyDescent="0.25"/>
  <cols>
    <col min="6" max="6" width="12.28515625" customWidth="1"/>
    <col min="7" max="7" width="12" customWidth="1"/>
    <col min="8" max="8" width="11.5703125" customWidth="1"/>
    <col min="9" max="9" width="11.42578125" customWidth="1"/>
    <col min="10" max="10" width="11.5703125" customWidth="1"/>
    <col min="11" max="11" width="12.7109375" customWidth="1"/>
    <col min="12" max="12" width="12.5703125" customWidth="1"/>
    <col min="13" max="13" width="12.85546875" customWidth="1"/>
    <col min="14" max="14" width="12" customWidth="1"/>
    <col min="15" max="15" width="12.5703125" customWidth="1"/>
    <col min="16" max="16" width="12.42578125" customWidth="1"/>
    <col min="17" max="17" width="11.85546875" customWidth="1"/>
    <col min="18" max="18" width="12.28515625" customWidth="1"/>
    <col min="19" max="19" width="11.5703125" customWidth="1"/>
    <col min="20" max="20" width="11.7109375" customWidth="1"/>
    <col min="21" max="21" width="12.5703125" customWidth="1"/>
    <col min="22" max="22" width="11.5703125" customWidth="1"/>
    <col min="23" max="24" width="12.140625" customWidth="1"/>
    <col min="25" max="25" width="12.28515625" customWidth="1"/>
  </cols>
  <sheetData>
    <row r="2" spans="1:28" ht="16.5" x14ac:dyDescent="0.35">
      <c r="G2" s="58" t="s">
        <v>188</v>
      </c>
      <c r="H2" s="58"/>
      <c r="I2" s="58"/>
      <c r="J2" s="58"/>
    </row>
    <row r="7" spans="1:28" ht="18.75" x14ac:dyDescent="0.25">
      <c r="A7" s="76" t="s">
        <v>102</v>
      </c>
      <c r="B7" s="76"/>
      <c r="C7" s="76"/>
      <c r="D7" s="76"/>
      <c r="I7" s="62" t="s">
        <v>130</v>
      </c>
      <c r="J7" s="62"/>
      <c r="N7" s="63" t="s">
        <v>131</v>
      </c>
      <c r="O7" s="63"/>
    </row>
    <row r="8" spans="1:28" x14ac:dyDescent="0.25">
      <c r="A8" s="76"/>
      <c r="B8" s="76"/>
      <c r="C8" s="76"/>
      <c r="D8" s="76"/>
    </row>
    <row r="10" spans="1:28" x14ac:dyDescent="0.25">
      <c r="A10" s="67" t="s">
        <v>103</v>
      </c>
      <c r="B10" s="67"/>
      <c r="C10" s="67"/>
      <c r="D10" s="67"/>
      <c r="E10" s="17"/>
      <c r="F10" s="17">
        <f>IF(E10&lt;UnosPodataka!$M$29,E10+1,"")</f>
        <v>1</v>
      </c>
      <c r="G10" s="17">
        <f>IF(F10&lt;UnosPodataka!$M$29,F10+1,"")</f>
        <v>2</v>
      </c>
      <c r="H10" s="17">
        <f>IF(G10&lt;UnosPodataka!$M$29,G10+1,"")</f>
        <v>3</v>
      </c>
      <c r="I10" s="17">
        <f>IF(H10&lt;UnosPodataka!$M$29,H10+1,"")</f>
        <v>4</v>
      </c>
      <c r="J10" s="17">
        <f>IF(I10&lt;UnosPodataka!$M$29,I10+1,"")</f>
        <v>5</v>
      </c>
      <c r="K10" s="17">
        <f>IF(J10&lt;UnosPodataka!$M$29,J10+1,"")</f>
        <v>6</v>
      </c>
      <c r="L10" s="17">
        <f>IF(K10&lt;UnosPodataka!$M$29,K10+1,"")</f>
        <v>7</v>
      </c>
      <c r="M10" s="17">
        <f>IF(L10&lt;UnosPodataka!$M$29,L10+1,"")</f>
        <v>8</v>
      </c>
      <c r="N10" s="17">
        <f>IF(M10&lt;UnosPodataka!$M$29,M10+1,"")</f>
        <v>9</v>
      </c>
      <c r="O10" s="17">
        <f>IF(N10&lt;UnosPodataka!$M$29,N10+1,"")</f>
        <v>10</v>
      </c>
      <c r="P10" s="17">
        <f>IF(O10&lt;UnosPodataka!$M$29,O10+1,"")</f>
        <v>11</v>
      </c>
      <c r="Q10" s="17">
        <f>IF(P10&lt;UnosPodataka!$M$29,P10+1,"")</f>
        <v>12</v>
      </c>
      <c r="R10" s="17">
        <f>IF(Q10&lt;UnosPodataka!$M$29,Q10+1,"")</f>
        <v>13</v>
      </c>
      <c r="S10" s="17">
        <f>IF(R10&lt;UnosPodataka!$M$29,R10+1,"")</f>
        <v>14</v>
      </c>
      <c r="T10" s="17">
        <f>IF(S10&lt;UnosPodataka!$M$29,S10+1,"")</f>
        <v>15</v>
      </c>
      <c r="U10" s="17">
        <f>IF(T10&lt;UnosPodataka!$M$29,T10+1,"")</f>
        <v>16</v>
      </c>
      <c r="V10" s="17">
        <f>IF(U10&lt;UnosPodataka!$M$29,U10+1,"")</f>
        <v>17</v>
      </c>
      <c r="W10" s="17">
        <f>IF(V10&lt;UnosPodataka!$M$29,V10+1,"")</f>
        <v>18</v>
      </c>
      <c r="X10" s="17">
        <f>IF(W10&lt;UnosPodataka!$M$29,W10+1,"")</f>
        <v>19</v>
      </c>
      <c r="Y10" s="17">
        <f>IF(X10&lt;UnosPodataka!$M$29,X10+1,"")</f>
        <v>20</v>
      </c>
      <c r="Z10" s="18"/>
      <c r="AA10" s="18"/>
      <c r="AB10" s="18"/>
    </row>
    <row r="12" spans="1:28" x14ac:dyDescent="0.25">
      <c r="A12" s="68" t="s">
        <v>104</v>
      </c>
      <c r="B12" s="68"/>
      <c r="C12" s="68"/>
      <c r="D12" s="68"/>
      <c r="E12" s="3"/>
      <c r="F12" s="3">
        <f>Investment</f>
        <v>35500</v>
      </c>
    </row>
    <row r="13" spans="1:28" x14ac:dyDescent="0.25">
      <c r="A13" s="68" t="s">
        <v>105</v>
      </c>
      <c r="B13" s="68"/>
      <c r="C13" s="68"/>
      <c r="D13" s="68"/>
      <c r="F13" s="3">
        <f>IF(F10&lt;&gt;"",-(FinaIndikatori!F29+FinaIndikatori!F34),"")</f>
        <v>8176.9179263603874</v>
      </c>
      <c r="G13" s="3">
        <f>IF(G10&lt;&gt;"",-(FinaIndikatori!G29+FinaIndikatori!G34),"")</f>
        <v>8146.917177892421</v>
      </c>
      <c r="H13" s="3">
        <f>IF(H10&lt;&gt;"",-(FinaIndikatori!H29+FinaIndikatori!H34),"")</f>
        <v>8113.3163396083</v>
      </c>
      <c r="I13" s="3">
        <f>IF(I10&lt;&gt;"",-(FinaIndikatori!I29+FinaIndikatori!I34),"")</f>
        <v>8075.683400730084</v>
      </c>
      <c r="J13" s="3">
        <f>IF(J10&lt;&gt;"",-(FinaIndikatori!J29+FinaIndikatori!J34),"")</f>
        <v>8033.534509186482</v>
      </c>
      <c r="K13" s="3">
        <f>IF(K10&lt;&gt;"",-(FinaIndikatori!K29+FinaIndikatori!K34),"")</f>
        <v>7986.3277506576478</v>
      </c>
      <c r="L13" s="3">
        <f>IF(L10&lt;&gt;"",-(FinaIndikatori!L29+FinaIndikatori!L34),"")</f>
        <v>7933.4561811053545</v>
      </c>
      <c r="M13" s="3">
        <f>IF(M10&lt;&gt;"",-(FinaIndikatori!M29+FinaIndikatori!M34),"")</f>
        <v>7874.2400232067848</v>
      </c>
      <c r="N13" s="3">
        <f>IF(N10&lt;&gt;"",-(FinaIndikatori!N29+FinaIndikatori!N34),"")</f>
        <v>3681.209678140081</v>
      </c>
      <c r="O13" s="3">
        <f>IF(O10&lt;&gt;"",-(FinaIndikatori!O29+FinaIndikatori!O34),"")</f>
        <v>3681.209678140081</v>
      </c>
      <c r="P13" s="3">
        <f>IF(P10&lt;&gt;"",-(FinaIndikatori!P29+FinaIndikatori!P34),"")</f>
        <v>3681.209678140081</v>
      </c>
      <c r="Q13" s="3">
        <f>IF(Q10&lt;&gt;"",-(FinaIndikatori!Q29+FinaIndikatori!Q34),"")</f>
        <v>3681.209678140081</v>
      </c>
      <c r="R13" s="3">
        <f>IF(R10&lt;&gt;"",-(FinaIndikatori!R29+FinaIndikatori!R34),"")</f>
        <v>3681.209678140081</v>
      </c>
      <c r="S13" s="3">
        <f>IF(S10&lt;&gt;"",-(FinaIndikatori!S29+FinaIndikatori!S34),"")</f>
        <v>3681.209678140081</v>
      </c>
      <c r="T13" s="3">
        <f>IF(T10&lt;&gt;"",-(FinaIndikatori!T29+FinaIndikatori!T34),"")</f>
        <v>3681.209678140081</v>
      </c>
      <c r="U13" s="3">
        <f>IF(U10&lt;&gt;"",-(FinaIndikatori!U29+FinaIndikatori!U34),"")</f>
        <v>3681.209678140081</v>
      </c>
      <c r="V13" s="3">
        <f>IF(V10&lt;&gt;"",-(FinaIndikatori!V29+FinaIndikatori!V34),"")</f>
        <v>3681.209678140081</v>
      </c>
      <c r="W13" s="3">
        <f>IF(W10&lt;&gt;"",-(FinaIndikatori!W29+FinaIndikatori!W34),"")</f>
        <v>3681.209678140081</v>
      </c>
      <c r="X13" s="3">
        <f>IF(X10&lt;&gt;"",-(FinaIndikatori!X29+FinaIndikatori!X34),"")</f>
        <v>3681.209678140081</v>
      </c>
      <c r="Y13" s="3">
        <f>IF(Y10&lt;&gt;"",-(FinaIndikatori!Y29+FinaIndikatori!Y34),"")</f>
        <v>3681.209678140081</v>
      </c>
    </row>
    <row r="14" spans="1:28" x14ac:dyDescent="0.25">
      <c r="A14" s="68" t="s">
        <v>106</v>
      </c>
      <c r="B14" s="68"/>
      <c r="C14" s="68"/>
      <c r="D14" s="68"/>
      <c r="E14" s="3"/>
      <c r="F14" s="3">
        <f t="shared" ref="F14:Y14" si="0">IF(F10&lt;&gt;"",F12+F13,"")</f>
        <v>43676.917926360387</v>
      </c>
      <c r="G14" s="3">
        <f t="shared" si="0"/>
        <v>8146.917177892421</v>
      </c>
      <c r="H14" s="3">
        <f t="shared" si="0"/>
        <v>8113.3163396083</v>
      </c>
      <c r="I14" s="3">
        <f t="shared" si="0"/>
        <v>8075.683400730084</v>
      </c>
      <c r="J14" s="3">
        <f t="shared" si="0"/>
        <v>8033.534509186482</v>
      </c>
      <c r="K14" s="3">
        <f t="shared" si="0"/>
        <v>7986.3277506576478</v>
      </c>
      <c r="L14" s="3">
        <f t="shared" si="0"/>
        <v>7933.4561811053545</v>
      </c>
      <c r="M14" s="3">
        <f t="shared" si="0"/>
        <v>7874.2400232067848</v>
      </c>
      <c r="N14" s="3">
        <f t="shared" si="0"/>
        <v>3681.209678140081</v>
      </c>
      <c r="O14" s="3">
        <f t="shared" si="0"/>
        <v>3681.209678140081</v>
      </c>
      <c r="P14" s="3">
        <f t="shared" si="0"/>
        <v>3681.209678140081</v>
      </c>
      <c r="Q14" s="3">
        <f t="shared" si="0"/>
        <v>3681.209678140081</v>
      </c>
      <c r="R14" s="3">
        <f t="shared" si="0"/>
        <v>3681.209678140081</v>
      </c>
      <c r="S14" s="3">
        <f t="shared" si="0"/>
        <v>3681.209678140081</v>
      </c>
      <c r="T14" s="3">
        <f t="shared" si="0"/>
        <v>3681.209678140081</v>
      </c>
      <c r="U14" s="3">
        <f t="shared" si="0"/>
        <v>3681.209678140081</v>
      </c>
      <c r="V14" s="3">
        <f t="shared" si="0"/>
        <v>3681.209678140081</v>
      </c>
      <c r="W14" s="3">
        <f t="shared" si="0"/>
        <v>3681.209678140081</v>
      </c>
      <c r="X14" s="3">
        <f t="shared" si="0"/>
        <v>3681.209678140081</v>
      </c>
      <c r="Y14" s="3">
        <f t="shared" si="0"/>
        <v>3681.209678140081</v>
      </c>
    </row>
    <row r="15" spans="1:28" x14ac:dyDescent="0.25">
      <c r="A15" s="69"/>
      <c r="B15" s="69"/>
      <c r="C15" s="69"/>
      <c r="D15" s="69"/>
    </row>
    <row r="16" spans="1:28" x14ac:dyDescent="0.25">
      <c r="A16" s="68" t="s">
        <v>128</v>
      </c>
      <c r="B16" s="68"/>
      <c r="C16" s="68"/>
      <c r="D16" s="68"/>
      <c r="F16" s="3">
        <f>IF(F10&lt;&gt;"",FinaIndikatori!F14,"")</f>
        <v>98.000000000000014</v>
      </c>
      <c r="G16" s="3">
        <f>IF(G10&lt;&gt;"",FinaIndikatori!G14,"")</f>
        <v>98.000000000000014</v>
      </c>
      <c r="H16" s="3">
        <f>IF(H10&lt;&gt;"",FinaIndikatori!H14,"")</f>
        <v>98.000000000000014</v>
      </c>
      <c r="I16" s="3">
        <f>IF(I10&lt;&gt;"",FinaIndikatori!I14,"")</f>
        <v>98.000000000000014</v>
      </c>
      <c r="J16" s="3">
        <f>IF(J10&lt;&gt;"",FinaIndikatori!J14,"")</f>
        <v>98.000000000000014</v>
      </c>
      <c r="K16" s="3">
        <f>IF(K10&lt;&gt;"",FinaIndikatori!K14,"")</f>
        <v>98.000000000000014</v>
      </c>
      <c r="L16" s="3">
        <f>IF(L10&lt;&gt;"",FinaIndikatori!L14,"")</f>
        <v>98.000000000000014</v>
      </c>
      <c r="M16" s="3">
        <f>IF(M10&lt;&gt;"",FinaIndikatori!M14,"")</f>
        <v>98.000000000000014</v>
      </c>
      <c r="N16" s="3">
        <f>IF(N10&lt;&gt;"",FinaIndikatori!N14,"")</f>
        <v>98.000000000000014</v>
      </c>
      <c r="O16" s="3">
        <f>IF(O10&lt;&gt;"",FinaIndikatori!O14,"")</f>
        <v>98.000000000000014</v>
      </c>
      <c r="P16" s="3">
        <f>IF(P10&lt;&gt;"",FinaIndikatori!P14,"")</f>
        <v>98.000000000000014</v>
      </c>
      <c r="Q16" s="3">
        <f>IF(Q10&lt;&gt;"",FinaIndikatori!Q14,"")</f>
        <v>98.000000000000014</v>
      </c>
      <c r="R16" s="3">
        <f>IF(R10&lt;&gt;"",FinaIndikatori!R14,"")</f>
        <v>98.000000000000014</v>
      </c>
      <c r="S16" s="3">
        <f>IF(S10&lt;&gt;"",FinaIndikatori!S14,"")</f>
        <v>98.000000000000014</v>
      </c>
      <c r="T16" s="3">
        <f>IF(T10&lt;&gt;"",FinaIndikatori!T14,"")</f>
        <v>98.000000000000014</v>
      </c>
      <c r="U16" s="3">
        <f>IF(U10&lt;&gt;"",FinaIndikatori!U14,"")</f>
        <v>98.000000000000014</v>
      </c>
      <c r="V16" s="3">
        <f>IF(V10&lt;&gt;"",FinaIndikatori!V14,"")</f>
        <v>98.000000000000014</v>
      </c>
      <c r="W16" s="3">
        <f>IF(W10&lt;&gt;"",FinaIndikatori!W14,"")</f>
        <v>98.000000000000014</v>
      </c>
      <c r="X16" s="3">
        <f>IF(X10&lt;&gt;"",FinaIndikatori!X14,"")</f>
        <v>98.000000000000014</v>
      </c>
      <c r="Y16" s="3">
        <f>IF(Y10&lt;&gt;"",FinaIndikatori!Y14,"")</f>
        <v>98.000000000000014</v>
      </c>
    </row>
    <row r="17" spans="1:25" ht="18" x14ac:dyDescent="0.35">
      <c r="A17" s="68" t="s">
        <v>97</v>
      </c>
      <c r="B17" s="68"/>
      <c r="C17" s="68"/>
      <c r="D17" s="68"/>
      <c r="F17" s="3">
        <f>IF(F10&lt;&gt;"",'FinInd+CO2'!F16,"")</f>
        <v>10.360000000000001</v>
      </c>
      <c r="G17" s="3">
        <f>IF(G10&lt;&gt;"",'FinInd+CO2'!G16,"")</f>
        <v>10.360000000000001</v>
      </c>
      <c r="H17" s="3">
        <f>IF(H10&lt;&gt;"",'FinInd+CO2'!H16,"")</f>
        <v>10.360000000000001</v>
      </c>
      <c r="I17" s="3">
        <f>IF(I10&lt;&gt;"",'FinInd+CO2'!I16,"")</f>
        <v>10.360000000000001</v>
      </c>
      <c r="J17" s="3">
        <f>IF(J10&lt;&gt;"",'FinInd+CO2'!J16,"")</f>
        <v>10.360000000000001</v>
      </c>
      <c r="K17" s="3">
        <f>IF(K10&lt;&gt;"",'FinInd+CO2'!K16,"")</f>
        <v>10.360000000000001</v>
      </c>
      <c r="L17" s="3">
        <f>IF(L10&lt;&gt;"",'FinInd+CO2'!L16,"")</f>
        <v>10.360000000000001</v>
      </c>
      <c r="M17" s="3">
        <f>IF(M10&lt;&gt;"",'FinInd+CO2'!M16,"")</f>
        <v>10.360000000000001</v>
      </c>
      <c r="N17" s="3">
        <f>IF(N10&lt;&gt;"",'FinInd+CO2'!N16,"")</f>
        <v>10.360000000000001</v>
      </c>
      <c r="O17" s="3">
        <f>IF(O10&lt;&gt;"",'FinInd+CO2'!O16,"")</f>
        <v>10.360000000000001</v>
      </c>
      <c r="P17" s="3">
        <f>IF(P10&lt;&gt;"",'FinInd+CO2'!P16,"")</f>
        <v>10.360000000000001</v>
      </c>
      <c r="Q17" s="3">
        <f>IF(Q10&lt;&gt;"",'FinInd+CO2'!Q16,"")</f>
        <v>10.360000000000001</v>
      </c>
      <c r="R17" s="3">
        <f>IF(R10&lt;&gt;"",'FinInd+CO2'!R16,"")</f>
        <v>10.360000000000001</v>
      </c>
      <c r="S17" s="3">
        <f>IF(S10&lt;&gt;"",'FinInd+CO2'!S16,"")</f>
        <v>10.360000000000001</v>
      </c>
      <c r="T17" s="3">
        <f>IF(T10&lt;&gt;"",'FinInd+CO2'!T16,"")</f>
        <v>10.360000000000001</v>
      </c>
      <c r="U17" s="3">
        <f>IF(U10&lt;&gt;"",'FinInd+CO2'!U16,"")</f>
        <v>10.360000000000001</v>
      </c>
      <c r="V17" s="3">
        <f>IF(V10&lt;&gt;"",'FinInd+CO2'!V16,"")</f>
        <v>10.360000000000001</v>
      </c>
      <c r="W17" s="3">
        <f>IF(W10&lt;&gt;"",'FinInd+CO2'!W16,"")</f>
        <v>10.360000000000001</v>
      </c>
      <c r="X17" s="3">
        <f>IF(X10&lt;&gt;"",'FinInd+CO2'!X16,"")</f>
        <v>10.360000000000001</v>
      </c>
      <c r="Y17" s="3">
        <f>IF(Y10&lt;&gt;"",'FinInd+CO2'!Y16,"")</f>
        <v>10.360000000000001</v>
      </c>
    </row>
    <row r="19" spans="1:25" x14ac:dyDescent="0.25">
      <c r="A19" s="67" t="s">
        <v>27</v>
      </c>
      <c r="B19" s="67"/>
      <c r="C19" s="67"/>
      <c r="D19" s="67"/>
      <c r="E19" s="3">
        <f>NPV(KamSptv,LCoEE!F14:Y14)/NPV(KamSptv,LCoEE!F16:Y16)</f>
        <v>97.080844794243646</v>
      </c>
    </row>
    <row r="20" spans="1:25" ht="18" x14ac:dyDescent="0.35">
      <c r="A20" s="67" t="s">
        <v>28</v>
      </c>
      <c r="B20" s="67"/>
      <c r="C20" s="67"/>
      <c r="D20" s="67"/>
      <c r="E20" s="23">
        <f>IF(F17&lt;0,"-",NPV(KamSptv,LCoEE!F14:Y14)/NPV(KamSptv,LCoEE!F17:Y17))</f>
        <v>918.33231562122342</v>
      </c>
    </row>
    <row r="21" spans="1:25" x14ac:dyDescent="0.25">
      <c r="E21" s="6"/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G2:J2"/>
    <mergeCell ref="I7:J7"/>
    <mergeCell ref="N7:O7"/>
    <mergeCell ref="A16:D16"/>
    <mergeCell ref="A17:D17"/>
  </mergeCells>
  <hyperlinks>
    <hyperlink ref="I7:J7" location="GrafEkon!A5" display="NAZAD"/>
    <hyperlink ref="N7:O7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3:G40"/>
  <sheetViews>
    <sheetView workbookViewId="0"/>
  </sheetViews>
  <sheetFormatPr defaultRowHeight="15" x14ac:dyDescent="0.25"/>
  <cols>
    <col min="1" max="1" width="15.5703125" customWidth="1"/>
    <col min="2" max="2" width="12.28515625" customWidth="1"/>
    <col min="3" max="3" width="12.140625" customWidth="1"/>
    <col min="4" max="4" width="11.7109375" customWidth="1"/>
    <col min="5" max="5" width="10.7109375" customWidth="1"/>
  </cols>
  <sheetData>
    <row r="3" spans="1:7" ht="16.5" x14ac:dyDescent="0.35">
      <c r="D3" s="58" t="s">
        <v>188</v>
      </c>
      <c r="E3" s="58"/>
      <c r="F3" s="58"/>
      <c r="G3" s="58"/>
    </row>
    <row r="7" spans="1:7" ht="21" x14ac:dyDescent="0.35">
      <c r="A7" s="65" t="s">
        <v>107</v>
      </c>
      <c r="B7" s="65"/>
      <c r="C7" s="65"/>
      <c r="D7" s="65"/>
    </row>
    <row r="9" spans="1:7" ht="15.75" thickBot="1" x14ac:dyDescent="0.3"/>
    <row r="10" spans="1:7" ht="15.75" thickBot="1" x14ac:dyDescent="0.3">
      <c r="B10" s="42" t="s">
        <v>185</v>
      </c>
      <c r="C10" s="43"/>
      <c r="D10" s="42" t="s">
        <v>186</v>
      </c>
      <c r="E10" s="43"/>
    </row>
    <row r="11" spans="1:7" ht="15.75" thickBot="1" x14ac:dyDescent="0.3">
      <c r="B11" s="44" t="s">
        <v>179</v>
      </c>
      <c r="C11" s="44" t="s">
        <v>180</v>
      </c>
      <c r="D11" s="44" t="s">
        <v>179</v>
      </c>
      <c r="E11" s="44" t="s">
        <v>180</v>
      </c>
    </row>
    <row r="13" spans="1:7" x14ac:dyDescent="0.25">
      <c r="A13" s="45" t="s">
        <v>181</v>
      </c>
      <c r="B13" s="46">
        <v>-11926.228790679073</v>
      </c>
      <c r="C13" s="30">
        <v>3.9575637579117195E-2</v>
      </c>
      <c r="D13" s="46">
        <v>-8477.2217252530136</v>
      </c>
      <c r="E13" s="7">
        <v>5.0792850624713504E-2</v>
      </c>
    </row>
    <row r="14" spans="1:7" x14ac:dyDescent="0.25">
      <c r="B14" s="46"/>
      <c r="D14" s="46"/>
    </row>
    <row r="15" spans="1:7" x14ac:dyDescent="0.25">
      <c r="A15" s="45" t="s">
        <v>73</v>
      </c>
      <c r="B15" s="46"/>
      <c r="D15" s="46"/>
    </row>
    <row r="16" spans="1:7" x14ac:dyDescent="0.25">
      <c r="A16" s="20">
        <v>0.1</v>
      </c>
      <c r="B16" s="46">
        <v>-11865.408681680658</v>
      </c>
      <c r="C16" s="30">
        <v>3.9775620257789024E-2</v>
      </c>
      <c r="D16" s="46">
        <v>-8417.0914402902145</v>
      </c>
      <c r="E16" s="7">
        <v>5.0986413617793103E-2</v>
      </c>
    </row>
    <row r="17" spans="1:5" x14ac:dyDescent="0.25">
      <c r="A17" s="20">
        <v>-0.1</v>
      </c>
      <c r="B17" s="46">
        <v>-11987.449118985218</v>
      </c>
      <c r="C17" s="30">
        <v>3.9374357605687971E-2</v>
      </c>
      <c r="D17" s="46">
        <v>-8537.3520102158236</v>
      </c>
      <c r="E17" s="7">
        <v>5.0599217896664772E-2</v>
      </c>
    </row>
    <row r="18" spans="1:5" x14ac:dyDescent="0.25">
      <c r="A18" s="6" t="s">
        <v>182</v>
      </c>
      <c r="B18" s="48" t="s">
        <v>187</v>
      </c>
      <c r="C18" s="30"/>
      <c r="D18" s="48" t="s">
        <v>187</v>
      </c>
      <c r="E18" s="7"/>
    </row>
    <row r="19" spans="1:5" x14ac:dyDescent="0.25">
      <c r="B19" s="46"/>
      <c r="D19" s="46"/>
    </row>
    <row r="20" spans="1:5" x14ac:dyDescent="0.25">
      <c r="A20" s="45" t="s">
        <v>183</v>
      </c>
      <c r="B20" s="46"/>
      <c r="D20" s="46"/>
    </row>
    <row r="21" spans="1:5" x14ac:dyDescent="0.25">
      <c r="A21" s="20">
        <v>0.1</v>
      </c>
      <c r="B21" s="46">
        <v>-7466.1951438121951</v>
      </c>
      <c r="C21" s="30">
        <v>5.403834753964798E-2</v>
      </c>
      <c r="D21" s="46">
        <v>-4093.5181324328537</v>
      </c>
      <c r="E21" s="7">
        <v>6.4745197991294523E-2</v>
      </c>
    </row>
    <row r="22" spans="1:5" x14ac:dyDescent="0.25">
      <c r="A22" s="20">
        <v>-0.1</v>
      </c>
      <c r="B22" s="46">
        <v>-16468.561773974696</v>
      </c>
      <c r="C22" s="30">
        <v>2.4395434945638117E-2</v>
      </c>
      <c r="D22" s="46">
        <v>-12959.378385528751</v>
      </c>
      <c r="E22" s="7">
        <v>3.6168234423428869E-2</v>
      </c>
    </row>
    <row r="23" spans="1:5" x14ac:dyDescent="0.25">
      <c r="A23" s="6" t="s">
        <v>182</v>
      </c>
      <c r="B23" s="30">
        <v>0.27360000000000007</v>
      </c>
      <c r="C23" s="30"/>
      <c r="D23" s="30">
        <v>0.19600000000000001</v>
      </c>
      <c r="E23" s="7"/>
    </row>
    <row r="24" spans="1:5" x14ac:dyDescent="0.25">
      <c r="B24" s="46"/>
      <c r="D24" s="46"/>
    </row>
    <row r="25" spans="1:5" x14ac:dyDescent="0.25">
      <c r="A25" s="45" t="s">
        <v>118</v>
      </c>
      <c r="B25" s="46"/>
      <c r="D25" s="46"/>
    </row>
    <row r="26" spans="1:5" x14ac:dyDescent="0.25">
      <c r="A26" s="20">
        <v>0.1</v>
      </c>
      <c r="B26" s="46">
        <v>-7406.0648588493805</v>
      </c>
      <c r="C26" s="30">
        <v>5.423077816006594E-2</v>
      </c>
      <c r="D26" s="46">
        <v>-2816.9177488350078</v>
      </c>
      <c r="E26" s="7">
        <v>6.8752207943001853E-2</v>
      </c>
    </row>
    <row r="27" spans="1:5" x14ac:dyDescent="0.25">
      <c r="A27" s="20">
        <v>-0.1</v>
      </c>
      <c r="B27" s="46">
        <v>-16530.616239428276</v>
      </c>
      <c r="C27" s="30">
        <v>2.4184246318978531E-2</v>
      </c>
      <c r="D27" s="46">
        <v>-14302.239510598567</v>
      </c>
      <c r="E27" s="7">
        <v>3.1700706201175599E-2</v>
      </c>
    </row>
    <row r="28" spans="1:5" x14ac:dyDescent="0.25">
      <c r="A28" s="6" t="s">
        <v>182</v>
      </c>
      <c r="B28" s="30">
        <v>0.27</v>
      </c>
      <c r="C28" s="30"/>
      <c r="D28" s="30">
        <v>0.19500000000000006</v>
      </c>
      <c r="E28" s="7"/>
    </row>
    <row r="29" spans="1:5" x14ac:dyDescent="0.25">
      <c r="B29" s="47"/>
      <c r="C29" s="30"/>
      <c r="D29" s="47"/>
      <c r="E29" s="7"/>
    </row>
    <row r="30" spans="1:5" x14ac:dyDescent="0.25">
      <c r="A30" s="45" t="s">
        <v>184</v>
      </c>
      <c r="B30" s="47"/>
      <c r="C30" s="30"/>
      <c r="D30" s="47"/>
      <c r="E30" s="7"/>
    </row>
    <row r="31" spans="1:5" x14ac:dyDescent="0.25">
      <c r="A31" s="20">
        <v>0.1</v>
      </c>
      <c r="B31" s="46">
        <v>-20019.912018951578</v>
      </c>
      <c r="C31" s="30">
        <v>2.1879503082489871E-2</v>
      </c>
      <c r="D31" s="46">
        <v>-16616.272031474426</v>
      </c>
      <c r="E31" s="7">
        <v>3.2463920619894227E-2</v>
      </c>
    </row>
    <row r="32" spans="1:5" x14ac:dyDescent="0.25">
      <c r="A32" s="20">
        <v>-0.1</v>
      </c>
      <c r="B32" s="46">
        <v>-3503.2893980179219</v>
      </c>
      <c r="C32" s="30">
        <v>6.0801866610378674E-2</v>
      </c>
      <c r="D32" s="46">
        <v>-45.873766228360068</v>
      </c>
      <c r="E32" s="7">
        <v>7.2630236495441647E-2</v>
      </c>
    </row>
    <row r="33" spans="1:5" x14ac:dyDescent="0.25">
      <c r="A33" s="6" t="s">
        <v>182</v>
      </c>
      <c r="B33" s="30">
        <v>-0.14100000000000001</v>
      </c>
      <c r="C33" s="30"/>
      <c r="D33" s="30">
        <v>-0.105</v>
      </c>
      <c r="E33" s="7"/>
    </row>
    <row r="36" spans="1:5" x14ac:dyDescent="0.25">
      <c r="A36" s="62" t="s">
        <v>130</v>
      </c>
      <c r="B36" s="62"/>
      <c r="D36" s="63" t="s">
        <v>131</v>
      </c>
      <c r="E36" s="63"/>
    </row>
    <row r="37" spans="1:5" x14ac:dyDescent="0.25">
      <c r="A37" s="62"/>
      <c r="B37" s="62"/>
      <c r="D37" s="63"/>
      <c r="E37" s="63"/>
    </row>
    <row r="40" spans="1:5" hidden="1" x14ac:dyDescent="0.25">
      <c r="B40" s="46">
        <f>+FinaIndikatori!$E$44</f>
        <v>5514.9368739770243</v>
      </c>
      <c r="C40" s="30">
        <f>+FinaIndikatori!$E$45</f>
        <v>9.4298664746929495E-2</v>
      </c>
      <c r="D40" s="46">
        <f>+'FinInd+CO2'!$E$46</f>
        <v>13480.675078781887</v>
      </c>
      <c r="E40" s="7">
        <f>+'FinInd+CO2'!$E$47</f>
        <v>0.11793547419407124</v>
      </c>
    </row>
  </sheetData>
  <sheetProtection selectLockedCells="1"/>
  <mergeCells count="4">
    <mergeCell ref="A36:B37"/>
    <mergeCell ref="D36:E37"/>
    <mergeCell ref="A7:D7"/>
    <mergeCell ref="D3:G3"/>
  </mergeCells>
  <hyperlinks>
    <hyperlink ref="A36:B37" location="LCoEE!I1" display="NAZAD"/>
    <hyperlink ref="D36:E37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workbookViewId="0">
      <selection sqref="A1:D2"/>
    </sheetView>
  </sheetViews>
  <sheetFormatPr defaultRowHeight="15" x14ac:dyDescent="0.25"/>
  <sheetData>
    <row r="1" spans="1:25" x14ac:dyDescent="0.25">
      <c r="A1" s="60" t="s">
        <v>135</v>
      </c>
      <c r="B1" s="60"/>
      <c r="C1" s="60"/>
      <c r="D1" s="60"/>
      <c r="I1" s="62" t="s">
        <v>130</v>
      </c>
      <c r="J1" s="62"/>
      <c r="N1" s="63" t="s">
        <v>131</v>
      </c>
      <c r="O1" s="63"/>
    </row>
    <row r="2" spans="1:25" x14ac:dyDescent="0.25">
      <c r="A2" s="60"/>
      <c r="B2" s="60"/>
      <c r="C2" s="60"/>
      <c r="D2" s="60"/>
      <c r="I2" s="62"/>
      <c r="J2" s="62"/>
      <c r="N2" s="63"/>
      <c r="O2" s="63"/>
    </row>
    <row r="4" spans="1:25" x14ac:dyDescent="0.25">
      <c r="A4" s="67" t="s">
        <v>103</v>
      </c>
      <c r="B4" s="67"/>
      <c r="C4" s="67"/>
      <c r="D4" s="67"/>
      <c r="E4" s="17"/>
      <c r="F4" s="17">
        <f>IF(E4&lt;UnosPodataka!$M$29,E4+1,"")</f>
        <v>1</v>
      </c>
      <c r="G4" s="17">
        <f>IF(F4&lt;UnosPodataka!$M$29,F4+1,"")</f>
        <v>2</v>
      </c>
      <c r="H4" s="17">
        <f>IF(G4&lt;UnosPodataka!$M$29,G4+1,"")</f>
        <v>3</v>
      </c>
      <c r="I4" s="17">
        <f>IF(H4&lt;UnosPodataka!$M$29,H4+1,"")</f>
        <v>4</v>
      </c>
      <c r="J4" s="17">
        <f>IF(I4&lt;UnosPodataka!$M$29,I4+1,"")</f>
        <v>5</v>
      </c>
      <c r="K4" s="17">
        <f>IF(J4&lt;UnosPodataka!$M$29,J4+1,"")</f>
        <v>6</v>
      </c>
      <c r="L4" s="17">
        <f>IF(K4&lt;UnosPodataka!$M$29,K4+1,"")</f>
        <v>7</v>
      </c>
      <c r="M4" s="17">
        <f>IF(L4&lt;UnosPodataka!$M$29,L4+1,"")</f>
        <v>8</v>
      </c>
      <c r="N4" s="17">
        <f>IF(M4&lt;UnosPodataka!$M$29,M4+1,"")</f>
        <v>9</v>
      </c>
      <c r="O4" s="17">
        <f>IF(N4&lt;UnosPodataka!$M$29,N4+1,"")</f>
        <v>10</v>
      </c>
      <c r="P4" s="17">
        <f>IF(O4&lt;UnosPodataka!$M$29,O4+1,"")</f>
        <v>11</v>
      </c>
      <c r="Q4" s="17">
        <f>IF(P4&lt;UnosPodataka!$M$29,P4+1,"")</f>
        <v>12</v>
      </c>
      <c r="R4" s="17">
        <f>IF(Q4&lt;UnosPodataka!$M$29,Q4+1,"")</f>
        <v>13</v>
      </c>
      <c r="S4" s="17">
        <f>IF(R4&lt;UnosPodataka!$M$29,R4+1,"")</f>
        <v>14</v>
      </c>
      <c r="T4" s="17">
        <f>IF(S4&lt;UnosPodataka!$M$29,S4+1,"")</f>
        <v>15</v>
      </c>
      <c r="U4" s="17">
        <f>IF(T4&lt;UnosPodataka!$M$29,T4+1,"")</f>
        <v>16</v>
      </c>
      <c r="V4" s="17">
        <f>IF(U4&lt;UnosPodataka!$M$29,U4+1,"")</f>
        <v>17</v>
      </c>
      <c r="W4" s="17">
        <f>IF(V4&lt;UnosPodataka!$M$29,V4+1,"")</f>
        <v>18</v>
      </c>
      <c r="X4" s="17">
        <f>IF(W4&lt;UnosPodataka!$M$29,W4+1,"")</f>
        <v>19</v>
      </c>
      <c r="Y4" s="17">
        <f>IF(X4&lt;UnosPodataka!$M$29,X4+1,"")</f>
        <v>20</v>
      </c>
    </row>
    <row r="6" spans="1:25" x14ac:dyDescent="0.25">
      <c r="A6" s="68" t="s">
        <v>136</v>
      </c>
      <c r="B6" s="68"/>
      <c r="C6" s="68"/>
      <c r="D6" s="68"/>
      <c r="E6" s="3">
        <v>0</v>
      </c>
      <c r="F6" s="3">
        <f>-FinaIndikatori!F28</f>
        <v>0</v>
      </c>
      <c r="G6" s="3">
        <f>-FinaIndikatori!G28</f>
        <v>0</v>
      </c>
      <c r="H6" s="3">
        <f>-FinaIndikatori!H28</f>
        <v>0</v>
      </c>
      <c r="I6" s="3">
        <f>-FinaIndikatori!I28</f>
        <v>0</v>
      </c>
      <c r="J6" s="3">
        <f>-FinaIndikatori!J28</f>
        <v>0</v>
      </c>
      <c r="K6" s="3">
        <f>-FinaIndikatori!K28</f>
        <v>0</v>
      </c>
      <c r="L6" s="3">
        <f>-FinaIndikatori!L28</f>
        <v>0</v>
      </c>
      <c r="M6" s="3">
        <f>-FinaIndikatori!M28</f>
        <v>0</v>
      </c>
      <c r="N6" s="3">
        <f>-FinaIndikatori!N28</f>
        <v>0</v>
      </c>
      <c r="O6" s="3">
        <f>-FinaIndikatori!O28</f>
        <v>0</v>
      </c>
      <c r="P6" s="3">
        <f>-FinaIndikatori!P28</f>
        <v>0</v>
      </c>
      <c r="Q6" s="3">
        <f>-FinaIndikatori!Q28</f>
        <v>0</v>
      </c>
      <c r="R6" s="3">
        <f>-FinaIndikatori!R28</f>
        <v>0</v>
      </c>
      <c r="S6" s="3">
        <f>-FinaIndikatori!S28</f>
        <v>0</v>
      </c>
      <c r="T6" s="3">
        <f>-FinaIndikatori!T28</f>
        <v>0</v>
      </c>
      <c r="U6" s="3">
        <f>-FinaIndikatori!U28</f>
        <v>0</v>
      </c>
      <c r="V6" s="3">
        <f>-FinaIndikatori!V28</f>
        <v>0</v>
      </c>
      <c r="W6" s="3">
        <f>-FinaIndikatori!W28</f>
        <v>0</v>
      </c>
      <c r="X6" s="3">
        <f>-FinaIndikatori!X28</f>
        <v>0</v>
      </c>
      <c r="Y6" s="3">
        <f>-FinaIndikatori!Y28</f>
        <v>0</v>
      </c>
    </row>
    <row r="7" spans="1:25" x14ac:dyDescent="0.25">
      <c r="A7" s="68" t="s">
        <v>137</v>
      </c>
      <c r="B7" s="68"/>
      <c r="C7" s="68"/>
      <c r="D7" s="68"/>
      <c r="E7" s="3">
        <v>0</v>
      </c>
      <c r="F7" s="3">
        <f>IF(F4&lt;&gt;0,F6*(1+UnosPodataka!$M$22)^(-F4),"")</f>
        <v>0</v>
      </c>
      <c r="G7" s="3">
        <f>IF(G4&lt;&gt;0,G6*(1+UnosPodataka!$M$22)^(-G4),"")</f>
        <v>0</v>
      </c>
      <c r="H7" s="3">
        <f>IF(H4&lt;&gt;0,H6*(1+UnosPodataka!$M$22)^(-H4),"")</f>
        <v>0</v>
      </c>
      <c r="I7" s="3">
        <f>IF(I4&lt;&gt;0,I6*(1+UnosPodataka!$M$22)^(-I4),"")</f>
        <v>0</v>
      </c>
      <c r="J7" s="3">
        <f>IF(J4&lt;&gt;0,J6*(1+UnosPodataka!$M$22)^(-J4),"")</f>
        <v>0</v>
      </c>
      <c r="K7" s="3">
        <f>IF(K4&lt;&gt;0,K6*(1+UnosPodataka!$M$22)^(-K4),"")</f>
        <v>0</v>
      </c>
      <c r="L7" s="3">
        <f>IF(L4&lt;&gt;0,L6*(1+UnosPodataka!$M$22)^(-L4),"")</f>
        <v>0</v>
      </c>
      <c r="M7" s="3">
        <f>IF(M4&lt;&gt;0,M6*(1+UnosPodataka!$M$22)^(-M4),"")</f>
        <v>0</v>
      </c>
      <c r="N7" s="3">
        <f>IF(N4&lt;&gt;0,N6*(1+UnosPodataka!$M$22)^(-N4),"")</f>
        <v>0</v>
      </c>
      <c r="O7" s="3">
        <f>IF(O4&lt;&gt;0,O6*(1+UnosPodataka!$M$22)^(-O4),"")</f>
        <v>0</v>
      </c>
      <c r="P7" s="3">
        <f>IF(P4&lt;&gt;0,P6*(1+UnosPodataka!$M$22)^(-P4),"")</f>
        <v>0</v>
      </c>
      <c r="Q7" s="3">
        <f>IF(Q4&lt;&gt;0,Q6*(1+UnosPodataka!$M$22)^(-Q4),"")</f>
        <v>0</v>
      </c>
      <c r="R7" s="3">
        <f>IF(R4&lt;&gt;0,R6*(1+UnosPodataka!$M$22)^(-R4),"")</f>
        <v>0</v>
      </c>
      <c r="S7" s="3">
        <f>IF(S4&lt;&gt;0,S6*(1+UnosPodataka!$M$22)^(-S4),"")</f>
        <v>0</v>
      </c>
      <c r="T7" s="3">
        <f>IF(T4&lt;&gt;0,T6*(1+UnosPodataka!$M$22)^(-T4),"")</f>
        <v>0</v>
      </c>
      <c r="U7" s="3">
        <f>IF(U4&lt;&gt;0,U6*(1+UnosPodataka!$M$22)^(-U4),"")</f>
        <v>0</v>
      </c>
      <c r="V7" s="3">
        <f>IF(V4&lt;&gt;0,V6*(1+UnosPodataka!$M$22)^(-V4),"")</f>
        <v>0</v>
      </c>
      <c r="W7" s="3">
        <f>IF(W4&lt;&gt;0,W6*(1+UnosPodataka!$M$22)^(-W4),"")</f>
        <v>0</v>
      </c>
      <c r="X7" s="3">
        <f>IF(X4&lt;&gt;0,X6*(1+UnosPodataka!$M$22)^(-X4),"")</f>
        <v>0</v>
      </c>
      <c r="Y7" s="3">
        <f>IF(Y4&lt;&gt;0,Y6*(1+UnosPodataka!$M$22)^(-Y4),"")</f>
        <v>0</v>
      </c>
    </row>
    <row r="9" spans="1:25" x14ac:dyDescent="0.25">
      <c r="A9" s="77" t="s">
        <v>26</v>
      </c>
      <c r="B9" s="77"/>
      <c r="C9" s="77"/>
      <c r="D9" s="77"/>
      <c r="E9" s="19">
        <f>NPV(UnosPodataka!M22,AkoESCO!F6:Y6)</f>
        <v>0</v>
      </c>
    </row>
    <row r="10" spans="1:25" x14ac:dyDescent="0.25">
      <c r="A10" s="77" t="s">
        <v>138</v>
      </c>
      <c r="B10" s="77"/>
      <c r="C10" s="77"/>
      <c r="D10" s="77"/>
      <c r="E10" s="6" t="s">
        <v>139</v>
      </c>
    </row>
  </sheetData>
  <mergeCells count="8">
    <mergeCell ref="A9:D9"/>
    <mergeCell ref="A10:D10"/>
    <mergeCell ref="A1:D2"/>
    <mergeCell ref="I1:J2"/>
    <mergeCell ref="N1:O2"/>
    <mergeCell ref="A4:D4"/>
    <mergeCell ref="A6:D6"/>
    <mergeCell ref="A7:D7"/>
  </mergeCells>
  <hyperlinks>
    <hyperlink ref="I1:J2" location="SALCoEE!A10" display="NAZAD"/>
    <hyperlink ref="N1:O2" location="ESCOGrafFina!A1" display="DALJE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sqref="A1:D3"/>
    </sheetView>
  </sheetViews>
  <sheetFormatPr defaultRowHeight="15" x14ac:dyDescent="0.25"/>
  <sheetData>
    <row r="1" spans="1:5" x14ac:dyDescent="0.25">
      <c r="A1" s="60" t="s">
        <v>140</v>
      </c>
      <c r="B1" s="60"/>
      <c r="C1" s="60"/>
      <c r="D1" s="60"/>
    </row>
    <row r="2" spans="1:5" x14ac:dyDescent="0.25">
      <c r="A2" s="60"/>
      <c r="B2" s="60"/>
      <c r="C2" s="60"/>
      <c r="D2" s="60"/>
    </row>
    <row r="3" spans="1:5" x14ac:dyDescent="0.25">
      <c r="A3" s="60"/>
      <c r="B3" s="60"/>
      <c r="C3" s="60"/>
      <c r="D3" s="60"/>
    </row>
    <row r="5" spans="1:5" x14ac:dyDescent="0.25">
      <c r="A5" s="62" t="s">
        <v>130</v>
      </c>
      <c r="B5" s="62"/>
      <c r="D5" s="63" t="s">
        <v>131</v>
      </c>
      <c r="E5" s="63"/>
    </row>
    <row r="6" spans="1:5" x14ac:dyDescent="0.25">
      <c r="A6" s="62"/>
      <c r="B6" s="62"/>
      <c r="D6" s="63"/>
      <c r="E6" s="63"/>
    </row>
  </sheetData>
  <mergeCells count="3">
    <mergeCell ref="A1:D3"/>
    <mergeCell ref="A5:B6"/>
    <mergeCell ref="D5:E6"/>
  </mergeCells>
  <hyperlinks>
    <hyperlink ref="A5:B6" location="AkoESCO!I1" display="NAZAD"/>
    <hyperlink ref="D5:E6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O12" sqref="O12"/>
    </sheetView>
  </sheetViews>
  <sheetFormatPr defaultRowHeight="15" x14ac:dyDescent="0.25"/>
  <sheetData>
    <row r="3" spans="1:9" ht="16.5" x14ac:dyDescent="0.35">
      <c r="F3" s="58" t="s">
        <v>188</v>
      </c>
      <c r="G3" s="58"/>
      <c r="H3" s="58"/>
      <c r="I3" s="58"/>
    </row>
    <row r="7" spans="1:9" x14ac:dyDescent="0.25">
      <c r="A7" s="60" t="s">
        <v>141</v>
      </c>
      <c r="B7" s="60"/>
      <c r="C7" s="60"/>
      <c r="D7" s="60"/>
    </row>
    <row r="8" spans="1:9" x14ac:dyDescent="0.25">
      <c r="A8" s="60"/>
      <c r="B8" s="60"/>
      <c r="C8" s="60"/>
      <c r="D8" s="60"/>
    </row>
    <row r="9" spans="1:9" x14ac:dyDescent="0.25">
      <c r="B9" s="67" t="s">
        <v>34</v>
      </c>
      <c r="C9" s="67"/>
      <c r="D9" s="67"/>
      <c r="E9" s="69" t="str">
        <f>PROJEKAT</f>
        <v>Modernizacija toplotnih podstanica</v>
      </c>
      <c r="F9" s="69"/>
      <c r="G9" s="69"/>
      <c r="H9" s="69"/>
      <c r="I9" s="69"/>
    </row>
    <row r="10" spans="1:9" x14ac:dyDescent="0.25">
      <c r="B10" s="67" t="s">
        <v>142</v>
      </c>
      <c r="C10" s="67"/>
      <c r="D10" s="67"/>
      <c r="E10" s="78">
        <f>Investment</f>
        <v>35500</v>
      </c>
      <c r="F10" s="78"/>
      <c r="G10" s="78"/>
      <c r="H10" s="78"/>
      <c r="I10" s="78"/>
    </row>
    <row r="11" spans="1:9" x14ac:dyDescent="0.25">
      <c r="B11" s="67" t="s">
        <v>143</v>
      </c>
      <c r="C11" s="67"/>
      <c r="D11" s="67"/>
      <c r="E11" s="78">
        <f>Investment-Equity-Loan</f>
        <v>10000</v>
      </c>
      <c r="F11" s="78"/>
      <c r="G11" s="78"/>
      <c r="H11" s="78"/>
      <c r="I11" s="78"/>
    </row>
    <row r="12" spans="1:9" x14ac:dyDescent="0.25">
      <c r="B12" s="67" t="s">
        <v>86</v>
      </c>
      <c r="C12" s="67"/>
      <c r="D12" s="67"/>
      <c r="E12" s="78">
        <f>Equity</f>
        <v>5000</v>
      </c>
      <c r="F12" s="78"/>
      <c r="G12" s="78"/>
      <c r="H12" s="78"/>
      <c r="I12" s="78"/>
    </row>
    <row r="13" spans="1:9" x14ac:dyDescent="0.25">
      <c r="B13" s="67" t="s">
        <v>85</v>
      </c>
      <c r="C13" s="67"/>
      <c r="D13" s="67"/>
      <c r="E13" s="78">
        <f>Loan</f>
        <v>20500</v>
      </c>
      <c r="F13" s="78"/>
      <c r="G13" s="78"/>
      <c r="H13" s="78"/>
      <c r="I13" s="78"/>
    </row>
    <row r="14" spans="1:9" x14ac:dyDescent="0.25">
      <c r="B14" s="67" t="s">
        <v>144</v>
      </c>
      <c r="C14" s="67"/>
      <c r="D14" s="67"/>
      <c r="E14" s="78">
        <f>LCoEE</f>
        <v>97.080844794243646</v>
      </c>
      <c r="F14" s="78"/>
      <c r="G14" s="78"/>
      <c r="H14" s="78"/>
      <c r="I14" s="78"/>
    </row>
    <row r="15" spans="1:9" x14ac:dyDescent="0.25">
      <c r="B15" s="67" t="s">
        <v>145</v>
      </c>
      <c r="C15" s="67"/>
      <c r="D15" s="67"/>
      <c r="E15" s="78">
        <f>+FinaIndikatori!E44</f>
        <v>5514.9368739770243</v>
      </c>
      <c r="F15" s="78"/>
      <c r="G15" s="78"/>
      <c r="H15" s="78"/>
      <c r="I15" s="78"/>
    </row>
    <row r="16" spans="1:9" x14ac:dyDescent="0.25">
      <c r="B16" s="67" t="s">
        <v>146</v>
      </c>
      <c r="C16" s="67"/>
      <c r="D16" s="67"/>
      <c r="E16" s="79">
        <f>+FinaIndikatori!E45</f>
        <v>9.4298664746929495E-2</v>
      </c>
      <c r="F16" s="79"/>
      <c r="G16" s="79"/>
      <c r="H16" s="79"/>
      <c r="I16" s="79"/>
    </row>
    <row r="17" spans="2:9" ht="18" x14ac:dyDescent="0.35">
      <c r="B17" s="81" t="s">
        <v>210</v>
      </c>
      <c r="C17" s="81"/>
      <c r="D17" s="81"/>
      <c r="E17" s="78">
        <f>+'FinInd+CO2'!E46</f>
        <v>13480.675078781887</v>
      </c>
      <c r="F17" s="78"/>
      <c r="G17" s="78"/>
      <c r="H17" s="78"/>
      <c r="I17" s="78"/>
    </row>
    <row r="18" spans="2:9" ht="18" x14ac:dyDescent="0.35">
      <c r="B18" s="81" t="s">
        <v>211</v>
      </c>
      <c r="C18" s="81"/>
      <c r="D18" s="81"/>
      <c r="E18" s="80">
        <f>+'FinInd+CO2'!E47</f>
        <v>0.11793547419407124</v>
      </c>
      <c r="F18" s="69"/>
      <c r="G18" s="69"/>
      <c r="H18" s="69"/>
      <c r="I18" s="69"/>
    </row>
    <row r="20" spans="2:9" x14ac:dyDescent="0.25">
      <c r="B20" s="62" t="s">
        <v>130</v>
      </c>
      <c r="C20" s="62"/>
    </row>
    <row r="21" spans="2:9" x14ac:dyDescent="0.25">
      <c r="B21" s="62"/>
      <c r="C21" s="62"/>
    </row>
  </sheetData>
  <mergeCells count="23">
    <mergeCell ref="B13:D13"/>
    <mergeCell ref="A7:D8"/>
    <mergeCell ref="B9:D9"/>
    <mergeCell ref="B10:D10"/>
    <mergeCell ref="B11:D11"/>
    <mergeCell ref="B12:D12"/>
    <mergeCell ref="E18:I18"/>
    <mergeCell ref="B20:C21"/>
    <mergeCell ref="B14:D14"/>
    <mergeCell ref="B15:D15"/>
    <mergeCell ref="B16:D16"/>
    <mergeCell ref="B17:D17"/>
    <mergeCell ref="B18:D18"/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H19" sqref="H19"/>
    </sheetView>
  </sheetViews>
  <sheetFormatPr defaultRowHeight="15" x14ac:dyDescent="0.25"/>
  <sheetData>
    <row r="7" spans="2:3" ht="21" x14ac:dyDescent="0.35">
      <c r="B7" s="57" t="s">
        <v>200</v>
      </c>
    </row>
    <row r="8" spans="2:3" ht="18" x14ac:dyDescent="0.35">
      <c r="C8" s="51" t="s">
        <v>201</v>
      </c>
    </row>
    <row r="9" spans="2:3" x14ac:dyDescent="0.25">
      <c r="B9" t="s">
        <v>20</v>
      </c>
      <c r="C9" s="8">
        <v>0.4</v>
      </c>
    </row>
    <row r="10" spans="2:3" x14ac:dyDescent="0.25">
      <c r="B10" t="s">
        <v>19</v>
      </c>
      <c r="C10" s="8">
        <v>0.33</v>
      </c>
    </row>
    <row r="11" spans="2:3" x14ac:dyDescent="0.25">
      <c r="B11" t="s">
        <v>202</v>
      </c>
      <c r="C11" s="8">
        <v>0.34</v>
      </c>
    </row>
    <row r="12" spans="2:3" x14ac:dyDescent="0.25">
      <c r="B12" t="s">
        <v>203</v>
      </c>
      <c r="C12" s="8">
        <v>0.27</v>
      </c>
    </row>
    <row r="13" spans="2:3" x14ac:dyDescent="0.25">
      <c r="B13" t="s">
        <v>16</v>
      </c>
      <c r="C13" s="8">
        <v>0.28000000000000003</v>
      </c>
    </row>
    <row r="14" spans="2:3" x14ac:dyDescent="0.25">
      <c r="B14" t="s">
        <v>13</v>
      </c>
      <c r="C14" s="8">
        <v>0.2</v>
      </c>
    </row>
    <row r="15" spans="2:3" x14ac:dyDescent="0.25">
      <c r="B15" t="s">
        <v>204</v>
      </c>
      <c r="C15" s="8">
        <v>0.22</v>
      </c>
    </row>
    <row r="16" spans="2:3" x14ac:dyDescent="0.25">
      <c r="B16" t="s">
        <v>205</v>
      </c>
      <c r="C16" s="8">
        <v>0.49399999999999999</v>
      </c>
    </row>
    <row r="17" spans="2:3" x14ac:dyDescent="0.25">
      <c r="B17" t="s">
        <v>22</v>
      </c>
      <c r="C17" s="8">
        <v>4.9000000000000002E-2</v>
      </c>
    </row>
    <row r="18" spans="2:3" x14ac:dyDescent="0.25">
      <c r="B18" t="s">
        <v>206</v>
      </c>
      <c r="C18" s="8">
        <v>0.04</v>
      </c>
    </row>
    <row r="19" spans="2:3" x14ac:dyDescent="0.25">
      <c r="B19" t="s">
        <v>207</v>
      </c>
      <c r="C19" s="8">
        <v>0.28999999999999998</v>
      </c>
    </row>
    <row r="20" spans="2:3" x14ac:dyDescent="0.25">
      <c r="B20" t="s">
        <v>17</v>
      </c>
      <c r="C20" s="8">
        <v>0.8</v>
      </c>
    </row>
    <row r="21" spans="2:3" x14ac:dyDescent="0.25">
      <c r="B21" t="s">
        <v>208</v>
      </c>
      <c r="C21" s="8">
        <v>0</v>
      </c>
    </row>
    <row r="22" spans="2:3" x14ac:dyDescent="0.25">
      <c r="B22" t="s">
        <v>197</v>
      </c>
    </row>
    <row r="23" spans="2:3" x14ac:dyDescent="0.25">
      <c r="B23" t="s">
        <v>209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H28" sqref="H28"/>
    </sheetView>
  </sheetViews>
  <sheetFormatPr defaultRowHeight="15" x14ac:dyDescent="0.25"/>
  <cols>
    <col min="2" max="2" width="25.7109375" customWidth="1"/>
    <col min="3" max="3" width="10.140625" bestFit="1" customWidth="1"/>
  </cols>
  <sheetData>
    <row r="3" spans="2:7" ht="16.5" x14ac:dyDescent="0.35">
      <c r="D3" s="58" t="s">
        <v>188</v>
      </c>
      <c r="E3" s="58"/>
      <c r="F3" s="58"/>
      <c r="G3" s="58"/>
    </row>
    <row r="7" spans="2:7" ht="21" x14ac:dyDescent="0.35">
      <c r="B7" s="65" t="s">
        <v>191</v>
      </c>
      <c r="C7" s="65"/>
      <c r="D7" s="65"/>
      <c r="E7" s="65"/>
      <c r="F7" s="65"/>
      <c r="G7" s="65"/>
    </row>
    <row r="8" spans="2:7" x14ac:dyDescent="0.25">
      <c r="B8" s="51"/>
      <c r="C8" s="51"/>
      <c r="D8" s="51"/>
      <c r="E8" s="51"/>
      <c r="F8" s="51"/>
      <c r="G8" s="51"/>
    </row>
    <row r="9" spans="2:7" x14ac:dyDescent="0.25">
      <c r="B9" s="66" t="s">
        <v>192</v>
      </c>
      <c r="C9" s="66" t="s">
        <v>193</v>
      </c>
      <c r="D9" s="66" t="s">
        <v>194</v>
      </c>
      <c r="E9" s="66" t="s">
        <v>195</v>
      </c>
    </row>
    <row r="10" spans="2:7" x14ac:dyDescent="0.25">
      <c r="B10" s="66"/>
      <c r="C10" s="66"/>
      <c r="D10" s="66"/>
      <c r="E10" s="66"/>
    </row>
    <row r="11" spans="2:7" ht="18" x14ac:dyDescent="0.35">
      <c r="B11" s="21"/>
      <c r="C11" s="50" t="s">
        <v>24</v>
      </c>
      <c r="D11" s="50" t="s">
        <v>119</v>
      </c>
      <c r="E11" s="50" t="s">
        <v>196</v>
      </c>
    </row>
    <row r="12" spans="2:7" x14ac:dyDescent="0.25">
      <c r="B12" s="52" t="s">
        <v>20</v>
      </c>
      <c r="C12" s="53">
        <v>36000</v>
      </c>
      <c r="D12" s="54">
        <f>VLOOKUP(B12,Gorivo!$B$9:$C$23,2,FALSE)</f>
        <v>0.4</v>
      </c>
      <c r="E12" s="55">
        <f>IF(B12&lt;&gt;"Gorivo",C12*D12,"")</f>
        <v>14400</v>
      </c>
    </row>
    <row r="13" spans="2:7" x14ac:dyDescent="0.25">
      <c r="B13" s="52" t="s">
        <v>197</v>
      </c>
      <c r="C13" s="53">
        <v>6000</v>
      </c>
      <c r="D13" s="54">
        <f>VLOOKUP(B13,Gorivo!$B$9:$C$23,2,FALSE)</f>
        <v>0</v>
      </c>
      <c r="E13" s="55" t="str">
        <f t="shared" ref="E13:E17" si="0">IF(B13&lt;&gt;"Gorivo",C13*D13,"")</f>
        <v/>
      </c>
    </row>
    <row r="14" spans="2:7" x14ac:dyDescent="0.25">
      <c r="B14" s="52" t="s">
        <v>197</v>
      </c>
      <c r="C14" s="53">
        <v>100000</v>
      </c>
      <c r="D14" s="54">
        <f>VLOOKUP(B14,Gorivo!$B$9:$C$23,2,FALSE)</f>
        <v>0</v>
      </c>
      <c r="E14" s="55" t="str">
        <f t="shared" si="0"/>
        <v/>
      </c>
    </row>
    <row r="15" spans="2:7" x14ac:dyDescent="0.25">
      <c r="B15" s="52" t="s">
        <v>197</v>
      </c>
      <c r="C15" s="53"/>
      <c r="D15" s="54">
        <f>VLOOKUP(B15,Gorivo!$B$9:$C$23,2,FALSE)</f>
        <v>0</v>
      </c>
      <c r="E15" s="55" t="str">
        <f t="shared" si="0"/>
        <v/>
      </c>
    </row>
    <row r="16" spans="2:7" x14ac:dyDescent="0.25">
      <c r="B16" s="52" t="s">
        <v>197</v>
      </c>
      <c r="C16" s="53"/>
      <c r="D16" s="54">
        <f>VLOOKUP(B16,Gorivo!$B$9:$C$23,2,FALSE)</f>
        <v>0</v>
      </c>
      <c r="E16" s="55" t="str">
        <f t="shared" si="0"/>
        <v/>
      </c>
    </row>
    <row r="17" spans="2:5" x14ac:dyDescent="0.25">
      <c r="B17" s="52" t="s">
        <v>197</v>
      </c>
      <c r="C17" s="53"/>
      <c r="D17" s="54">
        <f>VLOOKUP(B17,Gorivo!$B$9:$C$23,2,FALSE)</f>
        <v>0</v>
      </c>
      <c r="E17" s="55" t="str">
        <f t="shared" si="0"/>
        <v/>
      </c>
    </row>
    <row r="18" spans="2:5" x14ac:dyDescent="0.25">
      <c r="B18" s="21" t="s">
        <v>70</v>
      </c>
      <c r="C18" s="55">
        <f>SUM(C12:C17)</f>
        <v>142000</v>
      </c>
      <c r="D18" s="54"/>
      <c r="E18" s="55">
        <f>SUM(E12:E17)</f>
        <v>14400</v>
      </c>
    </row>
    <row r="20" spans="2:5" ht="18" x14ac:dyDescent="0.35">
      <c r="B20" s="64" t="s">
        <v>198</v>
      </c>
      <c r="C20" s="64"/>
      <c r="D20" s="64"/>
      <c r="E20" s="50" t="s">
        <v>199</v>
      </c>
    </row>
    <row r="21" spans="2:5" x14ac:dyDescent="0.25">
      <c r="B21" s="64"/>
      <c r="C21" s="64"/>
      <c r="D21" s="64"/>
      <c r="E21" s="56">
        <f>E18/C18</f>
        <v>0.10140845070422536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41"/>
  <sheetViews>
    <sheetView topLeftCell="A10" workbookViewId="0">
      <selection activeCell="W31" sqref="W31"/>
    </sheetView>
  </sheetViews>
  <sheetFormatPr defaultRowHeight="15" x14ac:dyDescent="0.25"/>
  <cols>
    <col min="3" max="3" width="36.42578125" customWidth="1"/>
    <col min="8" max="8" width="10.28515625" customWidth="1"/>
    <col min="11" max="11" width="11.42578125" customWidth="1"/>
    <col min="14" max="14" width="10.140625" customWidth="1"/>
  </cols>
  <sheetData>
    <row r="3" spans="2:15" ht="16.5" x14ac:dyDescent="0.35">
      <c r="D3" s="58" t="s">
        <v>188</v>
      </c>
      <c r="E3" s="58"/>
      <c r="F3" s="58"/>
      <c r="G3" s="58"/>
    </row>
    <row r="7" spans="2:15" ht="15" customHeight="1" x14ac:dyDescent="0.25">
      <c r="B7" s="17" t="s">
        <v>34</v>
      </c>
      <c r="C7" t="s">
        <v>33</v>
      </c>
      <c r="F7">
        <v>1</v>
      </c>
      <c r="H7" s="21" t="s">
        <v>10</v>
      </c>
      <c r="I7" t="s">
        <v>51</v>
      </c>
      <c r="N7" s="21" t="s">
        <v>3</v>
      </c>
      <c r="O7" t="s">
        <v>4</v>
      </c>
    </row>
    <row r="8" spans="2:15" x14ac:dyDescent="0.25">
      <c r="C8" t="s">
        <v>35</v>
      </c>
      <c r="F8">
        <v>2</v>
      </c>
      <c r="I8" t="s">
        <v>52</v>
      </c>
      <c r="O8" t="s">
        <v>5</v>
      </c>
    </row>
    <row r="9" spans="2:15" x14ac:dyDescent="0.25">
      <c r="C9" t="s">
        <v>36</v>
      </c>
      <c r="F9">
        <v>3</v>
      </c>
      <c r="I9" t="s">
        <v>108</v>
      </c>
      <c r="O9" t="s">
        <v>6</v>
      </c>
    </row>
    <row r="10" spans="2:15" x14ac:dyDescent="0.25">
      <c r="C10" t="s">
        <v>37</v>
      </c>
      <c r="F10">
        <v>4</v>
      </c>
      <c r="I10" t="s">
        <v>109</v>
      </c>
      <c r="O10" t="s">
        <v>7</v>
      </c>
    </row>
    <row r="11" spans="2:15" x14ac:dyDescent="0.25">
      <c r="C11" t="s">
        <v>38</v>
      </c>
      <c r="F11">
        <v>5</v>
      </c>
      <c r="I11" t="s">
        <v>110</v>
      </c>
      <c r="O11" t="s">
        <v>8</v>
      </c>
    </row>
    <row r="12" spans="2:15" x14ac:dyDescent="0.25">
      <c r="C12" t="s">
        <v>39</v>
      </c>
      <c r="F12">
        <v>6</v>
      </c>
      <c r="I12" t="s">
        <v>111</v>
      </c>
      <c r="O12" t="s">
        <v>31</v>
      </c>
    </row>
    <row r="13" spans="2:15" x14ac:dyDescent="0.25">
      <c r="C13" t="s">
        <v>40</v>
      </c>
      <c r="F13">
        <v>7</v>
      </c>
      <c r="I13" t="s">
        <v>112</v>
      </c>
    </row>
    <row r="14" spans="2:15" x14ac:dyDescent="0.25">
      <c r="C14" t="s">
        <v>41</v>
      </c>
      <c r="F14">
        <v>8</v>
      </c>
      <c r="I14" t="s">
        <v>113</v>
      </c>
    </row>
    <row r="15" spans="2:15" x14ac:dyDescent="0.25">
      <c r="C15" t="s">
        <v>42</v>
      </c>
      <c r="F15">
        <v>9</v>
      </c>
      <c r="H15" s="12"/>
      <c r="I15" t="s">
        <v>11</v>
      </c>
      <c r="N15" s="21" t="s">
        <v>9</v>
      </c>
      <c r="O15" t="s">
        <v>54</v>
      </c>
    </row>
    <row r="16" spans="2:15" x14ac:dyDescent="0.25">
      <c r="C16" t="s">
        <v>43</v>
      </c>
      <c r="F16">
        <v>10</v>
      </c>
      <c r="H16" s="12"/>
      <c r="I16" t="s">
        <v>114</v>
      </c>
      <c r="O16" t="s">
        <v>55</v>
      </c>
    </row>
    <row r="17" spans="3:17" x14ac:dyDescent="0.25">
      <c r="C17" t="s">
        <v>44</v>
      </c>
      <c r="F17">
        <v>11</v>
      </c>
      <c r="I17" t="s">
        <v>53</v>
      </c>
      <c r="O17" t="s">
        <v>56</v>
      </c>
    </row>
    <row r="18" spans="3:17" x14ac:dyDescent="0.25">
      <c r="C18" t="s">
        <v>45</v>
      </c>
      <c r="F18">
        <v>12</v>
      </c>
      <c r="O18" t="s">
        <v>57</v>
      </c>
    </row>
    <row r="19" spans="3:17" ht="18" x14ac:dyDescent="0.35">
      <c r="C19" t="s">
        <v>46</v>
      </c>
      <c r="F19">
        <v>13</v>
      </c>
      <c r="O19" t="s">
        <v>58</v>
      </c>
    </row>
    <row r="20" spans="3:17" x14ac:dyDescent="0.25">
      <c r="C20" t="s">
        <v>47</v>
      </c>
      <c r="F20">
        <v>14</v>
      </c>
    </row>
    <row r="21" spans="3:17" ht="18" x14ac:dyDescent="0.35">
      <c r="C21" t="s">
        <v>48</v>
      </c>
      <c r="F21">
        <v>15</v>
      </c>
      <c r="N21" s="21" t="s">
        <v>11</v>
      </c>
      <c r="O21" t="s">
        <v>59</v>
      </c>
    </row>
    <row r="22" spans="3:17" x14ac:dyDescent="0.25">
      <c r="C22" t="s">
        <v>49</v>
      </c>
      <c r="F22">
        <v>16</v>
      </c>
      <c r="O22" t="s">
        <v>60</v>
      </c>
    </row>
    <row r="23" spans="3:17" x14ac:dyDescent="0.25">
      <c r="C23" t="s">
        <v>50</v>
      </c>
      <c r="F23">
        <v>17</v>
      </c>
      <c r="H23" s="67" t="s">
        <v>148</v>
      </c>
      <c r="I23" s="67"/>
      <c r="J23" s="67"/>
      <c r="O23" t="s">
        <v>61</v>
      </c>
    </row>
    <row r="24" spans="3:17" x14ac:dyDescent="0.25">
      <c r="C24" t="s">
        <v>11</v>
      </c>
      <c r="F24">
        <v>18</v>
      </c>
      <c r="I24" t="s">
        <v>149</v>
      </c>
      <c r="K24" s="3">
        <f>+SUM(UnosPodataka!F25:F29)</f>
        <v>10000</v>
      </c>
      <c r="L24" s="30">
        <v>0</v>
      </c>
      <c r="O24" t="s">
        <v>62</v>
      </c>
    </row>
    <row r="25" spans="3:17" x14ac:dyDescent="0.25">
      <c r="C25" s="16">
        <f>VLOOKUP(Pocetna!M12,C7:F23,4,FALSE)</f>
        <v>4</v>
      </c>
      <c r="I25" t="s">
        <v>150</v>
      </c>
      <c r="K25" s="3">
        <f>+Loan</f>
        <v>20500</v>
      </c>
      <c r="L25" s="30">
        <v>0.12</v>
      </c>
      <c r="O25" t="s">
        <v>148</v>
      </c>
    </row>
    <row r="26" spans="3:17" x14ac:dyDescent="0.25">
      <c r="C26" s="11"/>
      <c r="I26" t="s">
        <v>31</v>
      </c>
      <c r="K26" s="3">
        <f>+Equity</f>
        <v>5000</v>
      </c>
      <c r="L26" s="7">
        <v>5.8299999999999998E-2</v>
      </c>
      <c r="O26" t="s">
        <v>64</v>
      </c>
    </row>
    <row r="27" spans="3:17" x14ac:dyDescent="0.25">
      <c r="J27" t="s">
        <v>151</v>
      </c>
      <c r="K27" s="3">
        <f>SUM(K24:K26)</f>
        <v>35500</v>
      </c>
      <c r="L27" s="7">
        <f>+(K24*L24+K25*L25+K26*L26)/K27</f>
        <v>7.7507042253521133E-2</v>
      </c>
      <c r="O27" t="s">
        <v>147</v>
      </c>
    </row>
    <row r="28" spans="3:17" x14ac:dyDescent="0.25">
      <c r="C28" s="28"/>
      <c r="O28" t="s">
        <v>63</v>
      </c>
    </row>
    <row r="29" spans="3:17" x14ac:dyDescent="0.25">
      <c r="C29" s="29"/>
      <c r="N29" s="21" t="s">
        <v>12</v>
      </c>
    </row>
    <row r="30" spans="3:17" x14ac:dyDescent="0.25">
      <c r="O30" t="s">
        <v>13</v>
      </c>
      <c r="Q30" s="3">
        <v>0.2</v>
      </c>
    </row>
    <row r="31" spans="3:17" x14ac:dyDescent="0.25">
      <c r="O31" t="s">
        <v>14</v>
      </c>
      <c r="Q31" s="3">
        <v>0.22</v>
      </c>
    </row>
    <row r="32" spans="3:17" x14ac:dyDescent="0.25">
      <c r="O32" t="s">
        <v>15</v>
      </c>
      <c r="Q32" s="3">
        <v>0.27</v>
      </c>
    </row>
    <row r="33" spans="15:17" x14ac:dyDescent="0.25">
      <c r="O33" t="s">
        <v>16</v>
      </c>
      <c r="Q33" s="3">
        <v>0.28000000000000003</v>
      </c>
    </row>
    <row r="34" spans="15:17" x14ac:dyDescent="0.25">
      <c r="O34" t="s">
        <v>17</v>
      </c>
      <c r="Q34" s="3">
        <v>0.8</v>
      </c>
    </row>
    <row r="35" spans="15:17" x14ac:dyDescent="0.25">
      <c r="O35" t="s">
        <v>18</v>
      </c>
      <c r="Q35" s="3">
        <v>0.49399999999999999</v>
      </c>
    </row>
    <row r="36" spans="15:17" x14ac:dyDescent="0.25">
      <c r="O36" t="s">
        <v>22</v>
      </c>
      <c r="Q36" s="3">
        <v>0</v>
      </c>
    </row>
    <row r="37" spans="15:17" x14ac:dyDescent="0.25">
      <c r="O37" t="s">
        <v>19</v>
      </c>
      <c r="Q37" s="3">
        <v>0.4</v>
      </c>
    </row>
    <row r="38" spans="15:17" x14ac:dyDescent="0.25">
      <c r="O38" t="s">
        <v>20</v>
      </c>
      <c r="Q38" s="3">
        <v>0.33</v>
      </c>
    </row>
    <row r="39" spans="15:17" x14ac:dyDescent="0.25">
      <c r="O39" t="s">
        <v>21</v>
      </c>
      <c r="Q39" s="3">
        <v>0</v>
      </c>
    </row>
    <row r="40" spans="15:17" x14ac:dyDescent="0.25">
      <c r="O40" t="s">
        <v>134</v>
      </c>
      <c r="Q40" s="8">
        <f>SUM(KonvFaktor!E21)</f>
        <v>0.10140845070422536</v>
      </c>
    </row>
    <row r="41" spans="15:17" x14ac:dyDescent="0.25">
      <c r="O41" t="s">
        <v>190</v>
      </c>
      <c r="Q41" s="3">
        <v>0.22</v>
      </c>
    </row>
  </sheetData>
  <sheetProtection selectLockedCells="1"/>
  <mergeCells count="2">
    <mergeCell ref="H23:J23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P35"/>
  <sheetViews>
    <sheetView workbookViewId="0">
      <selection activeCell="B38" sqref="B38"/>
    </sheetView>
  </sheetViews>
  <sheetFormatPr defaultRowHeight="15" x14ac:dyDescent="0.25"/>
  <cols>
    <col min="5" max="5" width="23.42578125" customWidth="1"/>
    <col min="6" max="6" width="15.28515625" customWidth="1"/>
    <col min="7" max="7" width="0" hidden="1" customWidth="1"/>
    <col min="12" max="12" width="19.85546875" customWidth="1"/>
    <col min="13" max="13" width="14" customWidth="1"/>
  </cols>
  <sheetData>
    <row r="2" spans="2:16" ht="16.5" x14ac:dyDescent="0.35">
      <c r="F2" s="58" t="s">
        <v>188</v>
      </c>
      <c r="G2" s="58"/>
      <c r="H2" s="58"/>
      <c r="I2" s="58"/>
    </row>
    <row r="7" spans="2:16" x14ac:dyDescent="0.25">
      <c r="B7" s="71" t="s">
        <v>65</v>
      </c>
      <c r="C7" s="71"/>
      <c r="D7" s="71"/>
      <c r="E7" s="71"/>
      <c r="F7" s="1" t="s">
        <v>1</v>
      </c>
      <c r="I7" s="70" t="s">
        <v>65</v>
      </c>
      <c r="J7" s="70"/>
      <c r="K7" s="70"/>
      <c r="L7" s="70"/>
      <c r="M7" s="2" t="s">
        <v>23</v>
      </c>
    </row>
    <row r="8" spans="2:16" x14ac:dyDescent="0.25">
      <c r="O8" s="62" t="s">
        <v>130</v>
      </c>
      <c r="P8" s="62"/>
    </row>
    <row r="9" spans="2:16" x14ac:dyDescent="0.25">
      <c r="B9" s="68" t="s">
        <v>51</v>
      </c>
      <c r="C9" s="68"/>
      <c r="D9" s="68"/>
      <c r="E9" s="68"/>
      <c r="F9" s="9">
        <v>1000</v>
      </c>
      <c r="G9" s="31">
        <f t="shared" ref="G9:G19" si="0">+F9/Investment</f>
        <v>2.8169014084507043E-2</v>
      </c>
      <c r="I9" s="68" t="s">
        <v>54</v>
      </c>
      <c r="J9" s="68"/>
      <c r="K9" s="68"/>
      <c r="L9" s="68"/>
      <c r="M9" s="9">
        <v>100</v>
      </c>
      <c r="O9" s="62"/>
      <c r="P9" s="62"/>
    </row>
    <row r="10" spans="2:16" x14ac:dyDescent="0.25">
      <c r="B10" s="68" t="s">
        <v>52</v>
      </c>
      <c r="C10" s="68"/>
      <c r="D10" s="68"/>
      <c r="E10" s="68"/>
      <c r="F10" s="9">
        <v>1000</v>
      </c>
      <c r="G10" s="31">
        <f t="shared" si="0"/>
        <v>2.8169014084507043E-2</v>
      </c>
      <c r="I10" s="68" t="s">
        <v>55</v>
      </c>
      <c r="J10" s="68"/>
      <c r="K10" s="68"/>
      <c r="L10" s="68"/>
      <c r="M10" s="7">
        <v>1</v>
      </c>
    </row>
    <row r="11" spans="2:16" x14ac:dyDescent="0.25">
      <c r="B11" s="68" t="s">
        <v>108</v>
      </c>
      <c r="C11" s="68"/>
      <c r="D11" s="68"/>
      <c r="E11" s="68"/>
      <c r="F11" s="9">
        <v>20000</v>
      </c>
      <c r="G11" s="31">
        <f t="shared" si="0"/>
        <v>0.56338028169014087</v>
      </c>
      <c r="I11" s="68" t="s">
        <v>56</v>
      </c>
      <c r="J11" s="68"/>
      <c r="K11" s="68"/>
      <c r="L11" s="68"/>
      <c r="M11" s="25">
        <v>1.4999999999999999E-2</v>
      </c>
      <c r="O11" s="63" t="s">
        <v>131</v>
      </c>
      <c r="P11" s="63"/>
    </row>
    <row r="12" spans="2:16" x14ac:dyDescent="0.25">
      <c r="B12" s="68" t="s">
        <v>109</v>
      </c>
      <c r="C12" s="68"/>
      <c r="D12" s="68"/>
      <c r="E12" s="68"/>
      <c r="F12" s="9">
        <v>3500</v>
      </c>
      <c r="G12" s="31">
        <f t="shared" si="0"/>
        <v>9.8591549295774641E-2</v>
      </c>
      <c r="I12" s="68" t="s">
        <v>57</v>
      </c>
      <c r="J12" s="68"/>
      <c r="K12" s="68"/>
      <c r="L12" s="68"/>
      <c r="M12" s="25">
        <v>0.1</v>
      </c>
      <c r="O12" s="63"/>
      <c r="P12" s="63"/>
    </row>
    <row r="13" spans="2:16" x14ac:dyDescent="0.25">
      <c r="B13" s="68" t="s">
        <v>110</v>
      </c>
      <c r="C13" s="68"/>
      <c r="D13" s="68"/>
      <c r="E13" s="68"/>
      <c r="F13" s="9">
        <v>2500</v>
      </c>
      <c r="G13" s="31">
        <f t="shared" si="0"/>
        <v>7.0422535211267609E-2</v>
      </c>
      <c r="I13" s="68" t="s">
        <v>66</v>
      </c>
      <c r="J13" s="68"/>
      <c r="K13" s="68"/>
      <c r="L13" s="68"/>
      <c r="M13" s="26">
        <v>97.44</v>
      </c>
    </row>
    <row r="14" spans="2:16" x14ac:dyDescent="0.25">
      <c r="B14" s="68" t="s">
        <v>111</v>
      </c>
      <c r="C14" s="68"/>
      <c r="D14" s="68"/>
      <c r="E14" s="68"/>
      <c r="F14" s="9">
        <v>1000</v>
      </c>
      <c r="G14" s="31">
        <f t="shared" si="0"/>
        <v>2.8169014084507043E-2</v>
      </c>
      <c r="I14" s="22"/>
      <c r="J14" s="22"/>
      <c r="K14" s="22"/>
      <c r="L14" s="22"/>
      <c r="M14" s="8"/>
    </row>
    <row r="15" spans="2:16" x14ac:dyDescent="0.25">
      <c r="B15" s="68" t="s">
        <v>112</v>
      </c>
      <c r="C15" s="68"/>
      <c r="D15" s="68"/>
      <c r="E15" s="68"/>
      <c r="F15" s="9">
        <v>1500</v>
      </c>
      <c r="G15" s="31">
        <f t="shared" si="0"/>
        <v>4.2253521126760563E-2</v>
      </c>
      <c r="I15" s="22"/>
      <c r="J15" s="22"/>
      <c r="K15" s="22"/>
      <c r="L15" s="22"/>
      <c r="M15" s="8"/>
    </row>
    <row r="16" spans="2:16" x14ac:dyDescent="0.25">
      <c r="B16" s="68" t="s">
        <v>113</v>
      </c>
      <c r="C16" s="68"/>
      <c r="D16" s="68"/>
      <c r="E16" s="68"/>
      <c r="F16" s="9">
        <v>2000</v>
      </c>
      <c r="G16" s="31">
        <f t="shared" si="0"/>
        <v>5.6338028169014086E-2</v>
      </c>
      <c r="I16" s="22"/>
      <c r="J16" s="22"/>
      <c r="K16" s="22"/>
      <c r="L16" s="22"/>
      <c r="M16" s="8"/>
    </row>
    <row r="17" spans="2:13" x14ac:dyDescent="0.25">
      <c r="B17" s="68" t="s">
        <v>11</v>
      </c>
      <c r="C17" s="68"/>
      <c r="D17" s="68"/>
      <c r="E17" s="68"/>
      <c r="F17" s="9">
        <v>1000</v>
      </c>
      <c r="G17" s="31">
        <f t="shared" si="0"/>
        <v>2.8169014084507043E-2</v>
      </c>
      <c r="I17" s="22"/>
      <c r="J17" s="22"/>
      <c r="K17" s="22"/>
      <c r="L17" s="22"/>
      <c r="M17" s="8"/>
    </row>
    <row r="18" spans="2:13" x14ac:dyDescent="0.25">
      <c r="B18" s="68" t="s">
        <v>114</v>
      </c>
      <c r="C18" s="68"/>
      <c r="D18" s="68"/>
      <c r="E18" s="68"/>
      <c r="F18" s="9">
        <v>1000</v>
      </c>
      <c r="G18" s="31">
        <f t="shared" si="0"/>
        <v>2.8169014084507043E-2</v>
      </c>
      <c r="I18" s="22"/>
      <c r="J18" s="22"/>
      <c r="K18" s="22"/>
      <c r="L18" s="22"/>
      <c r="M18" s="8"/>
    </row>
    <row r="19" spans="2:13" x14ac:dyDescent="0.25">
      <c r="B19" s="68" t="s">
        <v>53</v>
      </c>
      <c r="C19" s="68"/>
      <c r="D19" s="68"/>
      <c r="E19" s="68"/>
      <c r="F19" s="9">
        <v>1000</v>
      </c>
      <c r="G19" s="31">
        <f t="shared" si="0"/>
        <v>2.8169014084507043E-2</v>
      </c>
      <c r="I19" s="22"/>
      <c r="J19" s="22"/>
      <c r="K19" s="22"/>
      <c r="L19" s="22"/>
      <c r="M19" s="8"/>
    </row>
    <row r="20" spans="2:13" x14ac:dyDescent="0.25">
      <c r="B20" s="68"/>
      <c r="C20" s="68"/>
      <c r="D20" s="68"/>
      <c r="E20" s="68"/>
      <c r="F20" s="9"/>
      <c r="G20" s="31"/>
      <c r="I20" s="22"/>
      <c r="J20" s="22"/>
      <c r="K20" s="22"/>
      <c r="L20" s="22"/>
      <c r="M20" s="8"/>
    </row>
    <row r="21" spans="2:13" x14ac:dyDescent="0.25">
      <c r="B21" s="68"/>
      <c r="C21" s="68"/>
      <c r="D21" s="68"/>
      <c r="E21" s="68"/>
      <c r="F21" s="9"/>
      <c r="G21" s="31"/>
      <c r="I21" s="69"/>
      <c r="J21" s="69"/>
      <c r="K21" s="69"/>
      <c r="L21" s="69"/>
      <c r="M21" s="7"/>
    </row>
    <row r="22" spans="2:13" x14ac:dyDescent="0.25">
      <c r="B22" s="68"/>
      <c r="C22" s="68"/>
      <c r="D22" s="68"/>
      <c r="E22" s="68"/>
      <c r="F22" s="9"/>
      <c r="G22" s="31"/>
      <c r="I22" s="68" t="s">
        <v>62</v>
      </c>
      <c r="J22" s="68"/>
      <c r="K22" s="68"/>
      <c r="L22" s="68"/>
      <c r="M22" s="25">
        <v>0.06</v>
      </c>
    </row>
    <row r="23" spans="2:13" x14ac:dyDescent="0.25">
      <c r="E23" s="4" t="s">
        <v>68</v>
      </c>
      <c r="F23" s="3">
        <f>SUM(F9:F22)</f>
        <v>35500</v>
      </c>
      <c r="G23" s="31">
        <f>+F23/Investment</f>
        <v>1</v>
      </c>
      <c r="I23" s="68" t="s">
        <v>64</v>
      </c>
      <c r="J23" s="68"/>
      <c r="K23" s="68"/>
      <c r="L23" s="68"/>
      <c r="M23" s="7">
        <v>0.12</v>
      </c>
    </row>
    <row r="24" spans="2:13" x14ac:dyDescent="0.25">
      <c r="E24" s="4" t="s">
        <v>69</v>
      </c>
      <c r="F24" s="3">
        <f>F23*(1+PDV)</f>
        <v>42600</v>
      </c>
      <c r="G24" s="31">
        <f>+F24/Investment</f>
        <v>1.2</v>
      </c>
      <c r="I24" s="68" t="s">
        <v>147</v>
      </c>
      <c r="J24" s="68"/>
      <c r="K24" s="68"/>
      <c r="L24" s="68"/>
      <c r="M24" s="7">
        <f>+PomTab1!L26</f>
        <v>5.8299999999999998E-2</v>
      </c>
    </row>
    <row r="25" spans="2:13" x14ac:dyDescent="0.25">
      <c r="B25" s="68" t="s">
        <v>5</v>
      </c>
      <c r="C25" s="68"/>
      <c r="D25" s="68"/>
      <c r="E25" s="68"/>
      <c r="F25" s="3">
        <v>10000</v>
      </c>
      <c r="G25" s="31">
        <f>+F25/Investment</f>
        <v>0.28169014084507044</v>
      </c>
      <c r="I25" s="68" t="s">
        <v>148</v>
      </c>
      <c r="J25" s="68"/>
      <c r="K25" s="68"/>
      <c r="L25" s="68"/>
      <c r="M25" s="7">
        <f>+KamSptv</f>
        <v>7.7507042253521133E-2</v>
      </c>
    </row>
    <row r="26" spans="2:13" x14ac:dyDescent="0.25">
      <c r="B26" s="68"/>
      <c r="C26" s="68"/>
      <c r="D26" s="68"/>
      <c r="E26" s="68"/>
      <c r="F26" s="3"/>
      <c r="G26" s="31"/>
      <c r="I26" s="68" t="s">
        <v>60</v>
      </c>
      <c r="J26" s="68"/>
      <c r="K26" s="68"/>
      <c r="L26" s="68"/>
      <c r="M26" s="27">
        <v>8</v>
      </c>
    </row>
    <row r="27" spans="2:13" x14ac:dyDescent="0.25">
      <c r="B27" s="68"/>
      <c r="C27" s="68"/>
      <c r="D27" s="68"/>
      <c r="E27" s="68"/>
      <c r="F27" s="3"/>
      <c r="G27" s="31"/>
      <c r="I27" s="68" t="s">
        <v>63</v>
      </c>
      <c r="J27" s="68"/>
      <c r="K27" s="68"/>
      <c r="L27" s="68"/>
      <c r="M27" s="9" t="s">
        <v>134</v>
      </c>
    </row>
    <row r="28" spans="2:13" x14ac:dyDescent="0.25">
      <c r="B28" s="68"/>
      <c r="C28" s="68"/>
      <c r="D28" s="68"/>
      <c r="E28" s="68"/>
      <c r="F28" s="3"/>
      <c r="G28" s="31"/>
      <c r="I28" s="68" t="s">
        <v>67</v>
      </c>
      <c r="J28" s="68"/>
      <c r="K28" s="68"/>
      <c r="L28" s="68"/>
      <c r="M28" s="3">
        <f>VLOOKUP(M27,PomTab1!O30:Q40,3,FALSE)</f>
        <v>0.10140845070422536</v>
      </c>
    </row>
    <row r="29" spans="2:13" x14ac:dyDescent="0.25">
      <c r="B29" s="68"/>
      <c r="C29" s="68"/>
      <c r="D29" s="68"/>
      <c r="E29" s="68"/>
      <c r="F29" s="3"/>
      <c r="G29" s="31"/>
      <c r="I29" s="68" t="s">
        <v>61</v>
      </c>
      <c r="J29" s="68"/>
      <c r="K29" s="68"/>
      <c r="L29" s="68"/>
      <c r="M29" s="10">
        <v>20</v>
      </c>
    </row>
    <row r="30" spans="2:13" x14ac:dyDescent="0.25">
      <c r="B30" s="68" t="s">
        <v>31</v>
      </c>
      <c r="C30" s="68"/>
      <c r="D30" s="68"/>
      <c r="E30" s="68"/>
      <c r="F30" s="3">
        <v>5000</v>
      </c>
      <c r="G30" s="31">
        <f>+F30/Investment</f>
        <v>0.14084507042253522</v>
      </c>
    </row>
    <row r="31" spans="2:13" x14ac:dyDescent="0.25">
      <c r="E31" s="5" t="s">
        <v>70</v>
      </c>
      <c r="F31" s="3">
        <f>IF(SUM(F25:F30)&gt;F23,FALSE,SUM(F25:F30))</f>
        <v>15000</v>
      </c>
      <c r="G31" s="31">
        <f>+F31/Investment</f>
        <v>0.42253521126760563</v>
      </c>
      <c r="I31" s="68"/>
      <c r="J31" s="68"/>
      <c r="K31" s="68"/>
      <c r="L31" s="68"/>
      <c r="M31" s="13"/>
    </row>
    <row r="32" spans="2:13" x14ac:dyDescent="0.25">
      <c r="F32" s="3"/>
      <c r="G32" s="31">
        <f>+F32/Investment</f>
        <v>0</v>
      </c>
      <c r="I32" s="68"/>
      <c r="J32" s="68"/>
      <c r="K32" s="68"/>
      <c r="L32" s="68"/>
      <c r="M32" s="3"/>
    </row>
    <row r="33" spans="5:13" x14ac:dyDescent="0.25">
      <c r="E33" s="4" t="s">
        <v>71</v>
      </c>
      <c r="F33" s="3">
        <f>F23-F31</f>
        <v>20500</v>
      </c>
      <c r="G33" s="31">
        <f>+F33/Investment</f>
        <v>0.57746478873239437</v>
      </c>
      <c r="I33" s="68"/>
      <c r="J33" s="68"/>
      <c r="K33" s="68"/>
      <c r="L33" s="68"/>
      <c r="M33" s="13"/>
    </row>
    <row r="35" spans="5:13" x14ac:dyDescent="0.25">
      <c r="J35" s="30"/>
    </row>
  </sheetData>
  <sheetProtection selectLockedCells="1"/>
  <mergeCells count="42">
    <mergeCell ref="B16:E16"/>
    <mergeCell ref="B15:E15"/>
    <mergeCell ref="B14:E14"/>
    <mergeCell ref="B29:E29"/>
    <mergeCell ref="B17:E17"/>
    <mergeCell ref="B19:E19"/>
    <mergeCell ref="B18:E18"/>
    <mergeCell ref="B30:E30"/>
    <mergeCell ref="B20:E20"/>
    <mergeCell ref="I7:L7"/>
    <mergeCell ref="B25:E25"/>
    <mergeCell ref="B26:E26"/>
    <mergeCell ref="B27:E27"/>
    <mergeCell ref="B28:E28"/>
    <mergeCell ref="B12:E12"/>
    <mergeCell ref="B13:E13"/>
    <mergeCell ref="B21:E21"/>
    <mergeCell ref="B22:E22"/>
    <mergeCell ref="B7:E7"/>
    <mergeCell ref="B9:E9"/>
    <mergeCell ref="B10:E10"/>
    <mergeCell ref="B11:E11"/>
    <mergeCell ref="I9:L9"/>
    <mergeCell ref="O8:P9"/>
    <mergeCell ref="O11:P12"/>
    <mergeCell ref="I31:L31"/>
    <mergeCell ref="I11:L11"/>
    <mergeCell ref="I12:L12"/>
    <mergeCell ref="I13:L13"/>
    <mergeCell ref="I22:L22"/>
    <mergeCell ref="I21:L21"/>
    <mergeCell ref="F2:I2"/>
    <mergeCell ref="I32:L32"/>
    <mergeCell ref="I33:L33"/>
    <mergeCell ref="I23:L23"/>
    <mergeCell ref="I26:L26"/>
    <mergeCell ref="I27:L27"/>
    <mergeCell ref="I28:L28"/>
    <mergeCell ref="I29:L29"/>
    <mergeCell ref="I24:L24"/>
    <mergeCell ref="I10:L10"/>
    <mergeCell ref="I25:L25"/>
  </mergeCells>
  <dataValidations count="14">
    <dataValidation type="whole" allowBlank="1" showInputMessage="1" showErrorMessage="1" errorTitle="Restriction" error="Ne može biti više od 1.000.000 EUR" promptTitle="COSTSN" prompt="Unesi planirane troškove grupe pozicija" sqref="F9:F10 F12:F22">
      <formula1>0</formula1>
      <formula2>1000000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type="whole" allowBlank="1" showInputMessage="1" showErrorMessage="1" errorTitle="Restriction" error="Iznos ne može biti veći od 110 EUR/t CO2" promptTitle="CO2TAX" prompt="Preporučuje se iznos 55 EUR/t CO2." sqref="M14:M20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2">
      <formula1>0</formula1>
      <formula2>0.1</formula2>
    </dataValidation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3:M25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6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9">
      <formula1>0</formula1>
      <formula2>20</formula2>
    </dataValidation>
    <dataValidation type="whole" allowBlank="1" showInputMessage="1" showErrorMessage="1" errorTitle="Restriction" error="Ne može biti više od 5.000.000 EUR" promptTitle="COSTSN" prompt="Unesi planirane troškove grupe pozicija" sqref="F11">
      <formula1>0</formula1>
      <formula2>5000000</formula2>
    </dataValidation>
    <dataValidation type="whole" allowBlank="1" showInputMessage="1" showErrorMessage="1" errorTitle="Restriction" error="Maksimalni iznos do 2.000.000 EUR" promptTitle="Grant scheme" prompt="Unesi iznos granta ili učešća krajnjih korisnika ili sopstveni kapital javne ESCO kompanije" sqref="F25:F29">
      <formula1>0</formula1>
      <formula2>2000000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30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</dataValidations>
  <hyperlinks>
    <hyperlink ref="O8:P9" location="Pocetna!M9" display="NAZAD"/>
    <hyperlink ref="O11:P12" location="TroskoviEnergij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B25:E30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I13:L20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PomTab1!$O$30:$O$40</xm:f>
          </x14:formula1>
          <xm:sqref>M27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PomTab1!$I$7:$I$20</xm:f>
          </x14:formula1>
          <xm:sqref>B9:B22 C9:E17 C19:E22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PomTab1!$O$21:$O$28</xm:f>
          </x14:formula1>
          <xm:sqref>I29:L29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PomTab1!$O$21:$O$28</xm:f>
          </x14:formula1>
          <xm:sqref>J23:L23 I23:I25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PomTab1!$O$21:$O$28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PomTab1!$O$21:$O$28</xm:f>
          </x14:formula1>
          <xm:sqref>I26:L26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PomTab1!$O$21:$O$28</xm:f>
          </x14:formula1>
          <xm:sqref>I27:L28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R23"/>
  <sheetViews>
    <sheetView workbookViewId="0">
      <selection activeCell="V25" sqref="V25"/>
    </sheetView>
  </sheetViews>
  <sheetFormatPr defaultRowHeight="15" x14ac:dyDescent="0.25"/>
  <cols>
    <col min="9" max="9" width="10.28515625" customWidth="1"/>
    <col min="10" max="10" width="14" customWidth="1"/>
    <col min="11" max="11" width="7.85546875" customWidth="1"/>
    <col min="12" max="12" width="14.28515625" customWidth="1"/>
  </cols>
  <sheetData>
    <row r="3" spans="2:18" ht="16.5" x14ac:dyDescent="0.35">
      <c r="G3" s="58" t="s">
        <v>188</v>
      </c>
      <c r="H3" s="58"/>
      <c r="I3" s="58"/>
      <c r="J3" s="58"/>
    </row>
    <row r="7" spans="2:18" ht="21" x14ac:dyDescent="0.35">
      <c r="B7" s="65" t="s">
        <v>72</v>
      </c>
      <c r="C7" s="65"/>
      <c r="D7" s="65"/>
      <c r="E7" s="65"/>
      <c r="F7" s="65"/>
      <c r="G7" s="65"/>
    </row>
    <row r="9" spans="2:18" x14ac:dyDescent="0.25">
      <c r="B9" s="72" t="s">
        <v>129</v>
      </c>
      <c r="C9" s="72"/>
      <c r="D9" s="72"/>
      <c r="E9" s="72"/>
      <c r="F9" s="72"/>
      <c r="G9" s="72"/>
      <c r="I9" s="6" t="s">
        <v>24</v>
      </c>
      <c r="J9" s="14">
        <f>J14*WHOUR</f>
        <v>1400</v>
      </c>
      <c r="N9" s="62" t="s">
        <v>130</v>
      </c>
      <c r="O9" s="62"/>
      <c r="Q9" s="63" t="s">
        <v>131</v>
      </c>
      <c r="R9" s="63"/>
    </row>
    <row r="10" spans="2:18" x14ac:dyDescent="0.25">
      <c r="B10" s="68" t="s">
        <v>73</v>
      </c>
      <c r="C10" s="68"/>
      <c r="D10" s="68"/>
      <c r="E10" s="68"/>
      <c r="F10" s="68"/>
      <c r="G10" s="68"/>
      <c r="I10" s="6" t="s">
        <v>29</v>
      </c>
      <c r="J10" s="14">
        <v>12080</v>
      </c>
      <c r="N10" s="62"/>
      <c r="O10" s="62"/>
      <c r="Q10" s="63"/>
      <c r="R10" s="63"/>
    </row>
    <row r="11" spans="2:18" x14ac:dyDescent="0.25">
      <c r="B11" s="68" t="s">
        <v>74</v>
      </c>
      <c r="C11" s="68"/>
      <c r="D11" s="68"/>
      <c r="E11" s="68"/>
      <c r="F11" s="68"/>
      <c r="G11" s="68"/>
      <c r="I11" s="6" t="s">
        <v>29</v>
      </c>
      <c r="J11" s="14">
        <v>8900</v>
      </c>
    </row>
    <row r="12" spans="2:18" x14ac:dyDescent="0.25">
      <c r="B12" s="68" t="s">
        <v>115</v>
      </c>
      <c r="C12" s="68"/>
      <c r="D12" s="68"/>
      <c r="E12" s="68"/>
      <c r="F12" s="68"/>
      <c r="G12" s="68"/>
      <c r="I12" s="6" t="s">
        <v>30</v>
      </c>
      <c r="J12" s="24">
        <v>0.9</v>
      </c>
    </row>
    <row r="13" spans="2:18" x14ac:dyDescent="0.25">
      <c r="B13" s="68" t="s">
        <v>75</v>
      </c>
      <c r="C13" s="68"/>
      <c r="D13" s="68"/>
      <c r="E13" s="68"/>
      <c r="F13" s="68"/>
      <c r="G13" s="68"/>
      <c r="I13" s="6" t="s">
        <v>30</v>
      </c>
      <c r="J13" s="24">
        <v>0.9</v>
      </c>
    </row>
    <row r="14" spans="2:18" x14ac:dyDescent="0.25">
      <c r="B14" s="68" t="s">
        <v>120</v>
      </c>
      <c r="C14" s="68"/>
      <c r="D14" s="68"/>
      <c r="E14" s="68"/>
      <c r="F14" s="68"/>
      <c r="G14" s="68"/>
      <c r="I14" s="6" t="s">
        <v>32</v>
      </c>
      <c r="J14" s="14">
        <v>1</v>
      </c>
    </row>
    <row r="15" spans="2:18" x14ac:dyDescent="0.25">
      <c r="B15" s="68" t="s">
        <v>116</v>
      </c>
      <c r="C15" s="68"/>
      <c r="D15" s="68"/>
      <c r="E15" s="68"/>
      <c r="F15" s="68"/>
      <c r="G15" s="68"/>
      <c r="I15" s="6" t="s">
        <v>32</v>
      </c>
      <c r="J15" s="14">
        <v>0.01</v>
      </c>
    </row>
    <row r="16" spans="2:18" x14ac:dyDescent="0.25">
      <c r="B16" s="68" t="s">
        <v>76</v>
      </c>
      <c r="C16" s="68"/>
      <c r="D16" s="68"/>
      <c r="E16" s="68"/>
      <c r="F16" s="68"/>
      <c r="G16" s="68"/>
      <c r="I16" s="6" t="s">
        <v>30</v>
      </c>
      <c r="J16" s="14">
        <v>1400</v>
      </c>
    </row>
    <row r="17" spans="2:13" x14ac:dyDescent="0.25">
      <c r="B17" s="68" t="s">
        <v>117</v>
      </c>
      <c r="C17" s="68"/>
      <c r="D17" s="68"/>
      <c r="E17" s="68"/>
      <c r="F17" s="68"/>
      <c r="G17" s="68"/>
      <c r="I17" s="6" t="s">
        <v>24</v>
      </c>
      <c r="J17" s="14">
        <f>EPOW*WHOUR</f>
        <v>14</v>
      </c>
    </row>
    <row r="18" spans="2:13" x14ac:dyDescent="0.25">
      <c r="B18" s="68" t="s">
        <v>118</v>
      </c>
      <c r="C18" s="68"/>
      <c r="D18" s="68"/>
      <c r="E18" s="68"/>
      <c r="F18" s="68"/>
      <c r="G18" s="68"/>
      <c r="I18" s="6" t="s">
        <v>119</v>
      </c>
      <c r="J18" s="24">
        <v>7.0000000000000007E-2</v>
      </c>
      <c r="M18" s="20"/>
    </row>
    <row r="19" spans="2:13" x14ac:dyDescent="0.25">
      <c r="B19" s="68" t="s">
        <v>121</v>
      </c>
      <c r="C19" s="68"/>
      <c r="D19" s="68"/>
      <c r="E19" s="68"/>
      <c r="F19" s="68"/>
      <c r="G19" s="68"/>
      <c r="I19" s="6" t="s">
        <v>24</v>
      </c>
      <c r="J19" s="14">
        <f>EFFTPS*HEAT</f>
        <v>98.000000000000014</v>
      </c>
      <c r="M19" s="20"/>
    </row>
    <row r="20" spans="2:13" x14ac:dyDescent="0.25">
      <c r="B20" s="68" t="s">
        <v>122</v>
      </c>
      <c r="C20" s="68"/>
      <c r="D20" s="68"/>
      <c r="E20" s="68"/>
      <c r="F20" s="68"/>
      <c r="G20" s="68"/>
      <c r="I20" s="6" t="s">
        <v>123</v>
      </c>
      <c r="J20" s="14">
        <f>HPrice*HRED/Kurs_EUR+EPOW*EFFTPS*EPrice*WHOUR/Kurs_EUR</f>
        <v>7524.4354790661264</v>
      </c>
    </row>
    <row r="22" spans="2:13" ht="18" x14ac:dyDescent="0.35">
      <c r="B22" t="s">
        <v>77</v>
      </c>
      <c r="I22" s="61" t="s">
        <v>17</v>
      </c>
      <c r="J22" s="61"/>
    </row>
    <row r="23" spans="2:13" ht="18" x14ac:dyDescent="0.35">
      <c r="B23" t="s">
        <v>178</v>
      </c>
      <c r="I23" s="17" t="s">
        <v>124</v>
      </c>
      <c r="J23" s="14">
        <f>+HRED*0.22-14*0.8</f>
        <v>10.360000000000001</v>
      </c>
      <c r="L23" s="6"/>
    </row>
  </sheetData>
  <sheetProtection selectLockedCells="1"/>
  <mergeCells count="17">
    <mergeCell ref="B14:G14"/>
    <mergeCell ref="G3:J3"/>
    <mergeCell ref="N9:O10"/>
    <mergeCell ref="Q9:R10"/>
    <mergeCell ref="B7:G7"/>
    <mergeCell ref="I22:J22"/>
    <mergeCell ref="B16:G16"/>
    <mergeCell ref="B17:G17"/>
    <mergeCell ref="B18:G18"/>
    <mergeCell ref="B19:G19"/>
    <mergeCell ref="B20:G20"/>
    <mergeCell ref="B15:G15"/>
    <mergeCell ref="B9:G9"/>
    <mergeCell ref="B10:G10"/>
    <mergeCell ref="B11:G11"/>
    <mergeCell ref="B12:G12"/>
    <mergeCell ref="B13:G13"/>
  </mergeCells>
  <dataValidations count="2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6">
      <formula1>500</formula1>
      <formula2>3600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/>
  </dataValidations>
  <hyperlinks>
    <hyperlink ref="N9:O10" location="UnosPodataka!O3" display="NAZAD"/>
    <hyperlink ref="Q9:R10" location="Anuiteti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PomTab1!$O$30:$O$40</xm:f>
          </x14:formula1>
          <xm:sqref>I22:J22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M32"/>
  <sheetViews>
    <sheetView workbookViewId="0"/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58" t="s">
        <v>188</v>
      </c>
      <c r="F3" s="58"/>
      <c r="G3" s="58"/>
      <c r="H3" s="58"/>
    </row>
    <row r="7" spans="2:13" ht="21" x14ac:dyDescent="0.35">
      <c r="B7" s="65" t="s">
        <v>78</v>
      </c>
      <c r="C7" s="65"/>
      <c r="D7" s="65"/>
      <c r="E7" s="65"/>
      <c r="F7" s="65"/>
      <c r="G7" s="65"/>
    </row>
    <row r="9" spans="2:13" x14ac:dyDescent="0.25">
      <c r="B9" t="s">
        <v>79</v>
      </c>
      <c r="D9" s="6" t="s">
        <v>1</v>
      </c>
      <c r="E9" s="15">
        <f>Loan</f>
        <v>20500</v>
      </c>
      <c r="I9" s="62" t="s">
        <v>130</v>
      </c>
      <c r="J9" s="62"/>
      <c r="L9" s="63" t="s">
        <v>131</v>
      </c>
      <c r="M9" s="63"/>
    </row>
    <row r="10" spans="2:13" x14ac:dyDescent="0.25">
      <c r="I10" s="62"/>
      <c r="J10" s="62"/>
      <c r="L10" s="63"/>
      <c r="M10" s="63"/>
    </row>
    <row r="11" spans="2:13" x14ac:dyDescent="0.25">
      <c r="B11" s="16" t="s">
        <v>25</v>
      </c>
      <c r="C11" s="16" t="s">
        <v>80</v>
      </c>
      <c r="D11" s="16" t="s">
        <v>81</v>
      </c>
      <c r="E11" s="16" t="s">
        <v>82</v>
      </c>
    </row>
    <row r="13" spans="2:13" x14ac:dyDescent="0.25">
      <c r="B13">
        <v>1</v>
      </c>
      <c r="C13" s="3">
        <f>E9</f>
        <v>20500</v>
      </c>
      <c r="D13" s="3">
        <f>IF(UnosPodataka!$M$23=0,"",UnosPodataka!$M$23*Anuiteti!$E$9)</f>
        <v>2460</v>
      </c>
      <c r="E13" s="3">
        <f>PMT(UnosPodataka!$M$23,UnosPodataka!$M$26,Anuiteti!$E$9)</f>
        <v>-4126.7082482203059</v>
      </c>
    </row>
    <row r="14" spans="2:13" x14ac:dyDescent="0.25">
      <c r="B14">
        <f>IF(B13&lt;UnosPodataka!$M$26,B13+1,"")</f>
        <v>2</v>
      </c>
      <c r="C14" s="3">
        <f>IF(B14&lt;&gt;"",SUM(C13:E13),"")</f>
        <v>18833.291751779696</v>
      </c>
      <c r="D14" s="3">
        <f>IF(B14&lt;&gt;"",C14*UnosPodataka!$M$23,"")</f>
        <v>2259.9950102135635</v>
      </c>
      <c r="E14" s="3">
        <f>IF(B14&lt;&gt;"",PMT(UnosPodataka!$M$23,UnosPodataka!$M$26,Anuiteti!$E$9),"")</f>
        <v>-4126.7082482203059</v>
      </c>
    </row>
    <row r="15" spans="2:13" x14ac:dyDescent="0.25">
      <c r="B15">
        <f>IF(B14&lt;UnosPodataka!$M$26,B14+1,"")</f>
        <v>3</v>
      </c>
      <c r="C15" s="3">
        <f t="shared" ref="C15:C32" si="0">IF(B15&lt;&gt;"",SUM(C14:E14),"")</f>
        <v>16966.578513772954</v>
      </c>
      <c r="D15" s="3">
        <f>IF(B15&lt;&gt;"",C15*UnosPodataka!$M$23,"")</f>
        <v>2035.9894216527546</v>
      </c>
      <c r="E15" s="3">
        <f>IF(B15&lt;&gt;"",PMT(UnosPodataka!$M$23,UnosPodataka!$M$26,Anuiteti!$E$9),"")</f>
        <v>-4126.7082482203059</v>
      </c>
    </row>
    <row r="16" spans="2:13" x14ac:dyDescent="0.25">
      <c r="B16">
        <f>IF(B15&lt;UnosPodataka!$M$26,B15+1,"")</f>
        <v>4</v>
      </c>
      <c r="C16" s="3">
        <f t="shared" si="0"/>
        <v>14875.859687205402</v>
      </c>
      <c r="D16" s="3">
        <f>IF(B16&lt;&gt;"",C16*UnosPodataka!$M$23,"")</f>
        <v>1785.1031624646482</v>
      </c>
      <c r="E16" s="3">
        <f>IF(B16&lt;&gt;"",PMT(UnosPodataka!$M$23,UnosPodataka!$M$26,Anuiteti!$E$9),"")</f>
        <v>-4126.7082482203059</v>
      </c>
    </row>
    <row r="17" spans="2:5" x14ac:dyDescent="0.25">
      <c r="B17">
        <f>IF(B16&lt;UnosPodataka!$M$26,B16+1,"")</f>
        <v>5</v>
      </c>
      <c r="C17" s="3">
        <f t="shared" si="0"/>
        <v>12534.254601449744</v>
      </c>
      <c r="D17" s="3">
        <f>IF(B17&lt;&gt;"",C17*UnosPodataka!$M$23,"")</f>
        <v>1504.1105521739692</v>
      </c>
      <c r="E17" s="3">
        <f>IF(B17&lt;&gt;"",PMT(UnosPodataka!$M$23,UnosPodataka!$M$26,Anuiteti!$E$9),"")</f>
        <v>-4126.7082482203059</v>
      </c>
    </row>
    <row r="18" spans="2:5" x14ac:dyDescent="0.25">
      <c r="B18">
        <f>IF(B17&lt;UnosPodataka!$M$26,B17+1,"")</f>
        <v>6</v>
      </c>
      <c r="C18" s="3">
        <f t="shared" si="0"/>
        <v>9911.6569054034062</v>
      </c>
      <c r="D18" s="3">
        <f>IF(B18&lt;&gt;"",C18*UnosPodataka!$M$23,"")</f>
        <v>1189.3988286484087</v>
      </c>
      <c r="E18" s="3">
        <f>IF(B18&lt;&gt;"",PMT(UnosPodataka!$M$23,UnosPodataka!$M$26,Anuiteti!$E$9),"")</f>
        <v>-4126.7082482203059</v>
      </c>
    </row>
    <row r="19" spans="2:5" x14ac:dyDescent="0.25">
      <c r="B19">
        <f>IF(B18&lt;UnosPodataka!$M$26,B18+1,"")</f>
        <v>7</v>
      </c>
      <c r="C19" s="3">
        <f t="shared" si="0"/>
        <v>6974.3474858315094</v>
      </c>
      <c r="D19" s="3">
        <f>IF(B19&lt;&gt;"",C19*UnosPodataka!$M$23,"")</f>
        <v>836.92169829978104</v>
      </c>
      <c r="E19" s="3">
        <f>IF(B19&lt;&gt;"",PMT(UnosPodataka!$M$23,UnosPodataka!$M$26,Anuiteti!$E$9),"")</f>
        <v>-4126.7082482203059</v>
      </c>
    </row>
    <row r="20" spans="2:5" x14ac:dyDescent="0.25">
      <c r="B20">
        <f>IF(B19&lt;UnosPodataka!$M$26,B19+1,"")</f>
        <v>8</v>
      </c>
      <c r="C20" s="3">
        <f t="shared" si="0"/>
        <v>3684.5609359109849</v>
      </c>
      <c r="D20" s="3">
        <f>IF(B20&lt;&gt;"",C20*UnosPodataka!$M$23,"")</f>
        <v>442.14731230931818</v>
      </c>
      <c r="E20" s="3">
        <f>IF(B20&lt;&gt;"",PMT(UnosPodataka!$M$23,UnosPodataka!$M$26,Anuiteti!$E$9),"")</f>
        <v>-4126.7082482203059</v>
      </c>
    </row>
    <row r="21" spans="2:5" x14ac:dyDescent="0.25">
      <c r="B21" t="str">
        <f>IF(B20&lt;UnosPodataka!$M$26,B20+1,"")</f>
        <v/>
      </c>
      <c r="C21" s="3" t="str">
        <f t="shared" si="0"/>
        <v/>
      </c>
      <c r="D21" s="3" t="str">
        <f>IF(B21&lt;&gt;"",C21*UnosPodataka!$M$23,"")</f>
        <v/>
      </c>
      <c r="E21" s="3" t="str">
        <f>IF(B21&lt;&gt;"",PMT(UnosPodataka!$M$23,UnosPodataka!$M$26,Anuiteti!$E$9),"")</f>
        <v/>
      </c>
    </row>
    <row r="22" spans="2:5" x14ac:dyDescent="0.25">
      <c r="B22" t="str">
        <f>IF(B21&lt;UnosPodataka!$M$26,B21+1,"")</f>
        <v/>
      </c>
      <c r="C22" s="3" t="str">
        <f t="shared" si="0"/>
        <v/>
      </c>
      <c r="D22" s="3" t="str">
        <f>IF(B22&lt;&gt;"",C22*UnosPodataka!$M$23,"")</f>
        <v/>
      </c>
      <c r="E22" s="3" t="str">
        <f>IF(B22&lt;&gt;"",PMT(UnosPodataka!$M$23,UnosPodataka!$M$26,Anuiteti!$E$9),"")</f>
        <v/>
      </c>
    </row>
    <row r="23" spans="2:5" x14ac:dyDescent="0.25">
      <c r="B23" t="str">
        <f>IF(B22&lt;UnosPodataka!$M$26,B22+1,"")</f>
        <v/>
      </c>
      <c r="C23" s="3" t="str">
        <f t="shared" si="0"/>
        <v/>
      </c>
      <c r="D23" s="3" t="str">
        <f>IF(B23&lt;&gt;"",C23*UnosPodataka!$M$23,"")</f>
        <v/>
      </c>
      <c r="E23" s="3" t="str">
        <f>IF(B23&lt;&gt;"",PMT(UnosPodataka!$M$23,UnosPodataka!$M$26,Anuiteti!$E$9),"")</f>
        <v/>
      </c>
    </row>
    <row r="24" spans="2:5" x14ac:dyDescent="0.25">
      <c r="B24" t="str">
        <f>IF(B23&lt;UnosPodataka!$M$26,B23+1,"")</f>
        <v/>
      </c>
      <c r="C24" s="3" t="str">
        <f t="shared" si="0"/>
        <v/>
      </c>
      <c r="D24" s="3" t="str">
        <f>IF(B24&lt;&gt;"",C24*UnosPodataka!$M$23,"")</f>
        <v/>
      </c>
      <c r="E24" s="3" t="str">
        <f>IF(B24&lt;&gt;"",PMT(UnosPodataka!$M$23,UnosPodataka!$M$26,Anuiteti!$E$9),"")</f>
        <v/>
      </c>
    </row>
    <row r="25" spans="2:5" x14ac:dyDescent="0.25">
      <c r="B25" t="str">
        <f>IF(B24&lt;UnosPodataka!$M$26,B24+1,"")</f>
        <v/>
      </c>
      <c r="C25" s="3" t="str">
        <f t="shared" si="0"/>
        <v/>
      </c>
      <c r="D25" s="3" t="str">
        <f>IF(B25&lt;&gt;"",C25*UnosPodataka!$M$23,"")</f>
        <v/>
      </c>
      <c r="E25" s="3" t="str">
        <f>IF(B25&lt;&gt;"",PMT(UnosPodataka!$M$23,UnosPodataka!$M$26,Anuiteti!$E$9),"")</f>
        <v/>
      </c>
    </row>
    <row r="26" spans="2:5" x14ac:dyDescent="0.25">
      <c r="B26" t="str">
        <f>IF(B25&lt;UnosPodataka!$M$26,B25+1,"")</f>
        <v/>
      </c>
      <c r="C26" s="3" t="str">
        <f t="shared" si="0"/>
        <v/>
      </c>
      <c r="D26" s="3" t="str">
        <f>IF(B26&lt;&gt;"",C26*UnosPodataka!$M$23,"")</f>
        <v/>
      </c>
      <c r="E26" s="3" t="str">
        <f>IF(B26&lt;&gt;"",PMT(UnosPodataka!$M$23,UnosPodataka!$M$26,Anuiteti!$E$9),"")</f>
        <v/>
      </c>
    </row>
    <row r="27" spans="2:5" x14ac:dyDescent="0.25">
      <c r="B27" t="str">
        <f>IF(B26&lt;UnosPodataka!$M$26,B26+1,"")</f>
        <v/>
      </c>
      <c r="C27" s="3" t="str">
        <f t="shared" si="0"/>
        <v/>
      </c>
      <c r="D27" s="3" t="str">
        <f>IF(B27&lt;&gt;"",C27*UnosPodataka!$M$23,"")</f>
        <v/>
      </c>
      <c r="E27" s="3" t="str">
        <f>IF(B27&lt;&gt;"",PMT(UnosPodataka!$M$23,UnosPodataka!$M$26,Anuiteti!$E$9),"")</f>
        <v/>
      </c>
    </row>
    <row r="28" spans="2:5" x14ac:dyDescent="0.25">
      <c r="B28" t="str">
        <f>IF(B27&lt;UnosPodataka!$M$26,B27+1,"")</f>
        <v/>
      </c>
      <c r="C28" s="3" t="str">
        <f t="shared" si="0"/>
        <v/>
      </c>
      <c r="D28" s="3" t="str">
        <f>IF(B28&lt;&gt;"",C28*UnosPodataka!$M$23,"")</f>
        <v/>
      </c>
      <c r="E28" s="3" t="str">
        <f>IF(B28&lt;&gt;"",PMT(UnosPodataka!$M$23,UnosPodataka!$M$26,Anuiteti!$E$9),"")</f>
        <v/>
      </c>
    </row>
    <row r="29" spans="2:5" x14ac:dyDescent="0.25">
      <c r="B29" t="str">
        <f>IF(B28&lt;UnosPodataka!$M$26,B28+1,"")</f>
        <v/>
      </c>
      <c r="C29" s="3" t="str">
        <f t="shared" si="0"/>
        <v/>
      </c>
      <c r="D29" s="3" t="str">
        <f>IF(B29&lt;&gt;"",C29*UnosPodataka!$M$23,"")</f>
        <v/>
      </c>
      <c r="E29" s="3" t="str">
        <f>IF(B29&lt;&gt;"",PMT(UnosPodataka!$M$23,UnosPodataka!$M$26,Anuiteti!$E$9),"")</f>
        <v/>
      </c>
    </row>
    <row r="30" spans="2:5" x14ac:dyDescent="0.25">
      <c r="B30" t="str">
        <f>IF(B29&lt;UnosPodataka!$M$26,B29+1,"")</f>
        <v/>
      </c>
      <c r="C30" s="3" t="str">
        <f t="shared" si="0"/>
        <v/>
      </c>
      <c r="D30" s="3" t="str">
        <f>IF(B30&lt;&gt;"",C30*UnosPodataka!$M$23,"")</f>
        <v/>
      </c>
      <c r="E30" s="3" t="str">
        <f>IF(B30&lt;&gt;"",PMT(UnosPodataka!$M$23,UnosPodataka!$M$26,Anuiteti!$E$9),"")</f>
        <v/>
      </c>
    </row>
    <row r="31" spans="2:5" x14ac:dyDescent="0.25">
      <c r="B31" t="str">
        <f>IF(B30&lt;UnosPodataka!$M$26,B30+1,"")</f>
        <v/>
      </c>
      <c r="C31" s="3" t="str">
        <f t="shared" si="0"/>
        <v/>
      </c>
      <c r="D31" s="3" t="str">
        <f>IF(B31&lt;&gt;"",C31*UnosPodataka!$M$23,"")</f>
        <v/>
      </c>
      <c r="E31" s="3" t="str">
        <f>IF(B31&lt;&gt;"",PMT(UnosPodataka!$M$23,UnosPodataka!$M$26,Anuiteti!$E$9),"")</f>
        <v/>
      </c>
    </row>
    <row r="32" spans="2:5" x14ac:dyDescent="0.25">
      <c r="B32" t="str">
        <f>IF(B31&lt;UnosPodataka!$M$26,B31+1,"")</f>
        <v/>
      </c>
      <c r="C32" s="3" t="str">
        <f t="shared" si="0"/>
        <v/>
      </c>
      <c r="D32" s="3" t="str">
        <f>IF(B32&lt;&gt;"",C32*UnosPodataka!$M$23,"")</f>
        <v/>
      </c>
      <c r="E32" s="3" t="str">
        <f>IF(B32&lt;&gt;"",PMT(UnosPodataka!$M$23,UnosPodataka!$M$26,Anuiteti!$E$9),"")</f>
        <v/>
      </c>
    </row>
  </sheetData>
  <sheetProtection selectLockedCells="1"/>
  <mergeCells count="4">
    <mergeCell ref="B7:G7"/>
    <mergeCell ref="I9:J10"/>
    <mergeCell ref="L9:M10"/>
    <mergeCell ref="E3:H3"/>
  </mergeCells>
  <hyperlinks>
    <hyperlink ref="I9:J10" location="TroskoviEnergije!N4" display="NAZAD"/>
    <hyperlink ref="L9:M10" location="Fina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0"/>
  <sheetViews>
    <sheetView topLeftCell="A18" workbookViewId="0">
      <selection activeCell="F29" sqref="F29"/>
    </sheetView>
  </sheetViews>
  <sheetFormatPr defaultRowHeight="15" x14ac:dyDescent="0.25"/>
  <cols>
    <col min="4" max="4" width="21.5703125" customWidth="1"/>
    <col min="5" max="6" width="13.5703125" customWidth="1"/>
    <col min="7" max="7" width="14" customWidth="1"/>
    <col min="8" max="8" width="13.140625" customWidth="1"/>
    <col min="9" max="9" width="13.28515625" customWidth="1"/>
    <col min="10" max="10" width="13.5703125" customWidth="1"/>
    <col min="11" max="11" width="13" customWidth="1"/>
    <col min="12" max="12" width="13.85546875" customWidth="1"/>
    <col min="13" max="14" width="14.7109375" customWidth="1"/>
    <col min="15" max="15" width="14.140625" customWidth="1"/>
    <col min="16" max="16" width="13.85546875" customWidth="1"/>
    <col min="17" max="17" width="15" customWidth="1"/>
    <col min="18" max="18" width="14.140625" customWidth="1"/>
    <col min="19" max="20" width="14.5703125" customWidth="1"/>
    <col min="21" max="21" width="15.140625" customWidth="1"/>
    <col min="22" max="22" width="14.85546875" customWidth="1"/>
    <col min="23" max="23" width="14.7109375" customWidth="1"/>
    <col min="24" max="24" width="14.140625" customWidth="1"/>
    <col min="25" max="25" width="15" customWidth="1"/>
  </cols>
  <sheetData>
    <row r="3" spans="1:25" ht="16.5" x14ac:dyDescent="0.35">
      <c r="F3" s="58" t="s">
        <v>188</v>
      </c>
      <c r="G3" s="58"/>
      <c r="H3" s="58"/>
      <c r="I3" s="58"/>
    </row>
    <row r="7" spans="1:25" ht="21" x14ac:dyDescent="0.35">
      <c r="A7" s="65" t="s">
        <v>83</v>
      </c>
      <c r="B7" s="65"/>
      <c r="C7" s="65"/>
      <c r="D7" s="65"/>
      <c r="I7" s="62" t="s">
        <v>130</v>
      </c>
      <c r="J7" s="62"/>
      <c r="N7" s="63" t="s">
        <v>131</v>
      </c>
      <c r="O7" s="63"/>
    </row>
    <row r="9" spans="1:25" x14ac:dyDescent="0.25">
      <c r="A9" s="61" t="s">
        <v>84</v>
      </c>
      <c r="B9" s="61"/>
      <c r="C9" s="61"/>
      <c r="D9" s="61"/>
      <c r="E9" s="16">
        <v>0</v>
      </c>
      <c r="F9" s="16">
        <v>1</v>
      </c>
      <c r="G9" s="16">
        <f>IF(F9&lt;UnosPodataka!$M$29,FinaIndikatori!F9+1,"")</f>
        <v>2</v>
      </c>
      <c r="H9" s="16">
        <f>IF(G9&lt;UnosPodataka!$M$29,FinaIndikatori!G9+1,"")</f>
        <v>3</v>
      </c>
      <c r="I9" s="16">
        <f>IF(H9&lt;UnosPodataka!$M$29,FinaIndikatori!H9+1,"")</f>
        <v>4</v>
      </c>
      <c r="J9" s="16">
        <f>IF(I9&lt;UnosPodataka!$M$29,FinaIndikatori!I9+1,"")</f>
        <v>5</v>
      </c>
      <c r="K9" s="16">
        <f>IF(J9&lt;UnosPodataka!$M$29,FinaIndikatori!J9+1,"")</f>
        <v>6</v>
      </c>
      <c r="L9" s="16">
        <f>IF(K9&lt;UnosPodataka!$M$29,FinaIndikatori!K9+1,"")</f>
        <v>7</v>
      </c>
      <c r="M9" s="16">
        <f>IF(L9&lt;UnosPodataka!$M$29,FinaIndikatori!L9+1,"")</f>
        <v>8</v>
      </c>
      <c r="N9" s="16">
        <f>IF(M9&lt;UnosPodataka!$M$29,FinaIndikatori!M9+1,"")</f>
        <v>9</v>
      </c>
      <c r="O9" s="16">
        <f>IF(N9&lt;UnosPodataka!$M$29,FinaIndikatori!N9+1,"")</f>
        <v>10</v>
      </c>
      <c r="P9" s="16">
        <f>IF(O9&lt;UnosPodataka!$M$29,FinaIndikatori!O9+1,"")</f>
        <v>11</v>
      </c>
      <c r="Q9" s="16">
        <f>IF(P9&lt;UnosPodataka!$M$29,FinaIndikatori!P9+1,"")</f>
        <v>12</v>
      </c>
      <c r="R9" s="16">
        <f>IF(Q9&lt;UnosPodataka!$M$29,FinaIndikatori!Q9+1,"")</f>
        <v>13</v>
      </c>
      <c r="S9" s="16">
        <f>IF(R9&lt;UnosPodataka!$M$29,FinaIndikatori!R9+1,"")</f>
        <v>14</v>
      </c>
      <c r="T9" s="16">
        <f>IF(S9&lt;UnosPodataka!$M$29,FinaIndikatori!S9+1,"")</f>
        <v>15</v>
      </c>
      <c r="U9" s="16">
        <f>IF(T9&lt;UnosPodataka!$M$29,FinaIndikatori!T9+1,"")</f>
        <v>16</v>
      </c>
      <c r="V9" s="16">
        <f>IF(U9&lt;UnosPodataka!$M$29,FinaIndikatori!U9+1,"")</f>
        <v>17</v>
      </c>
      <c r="W9" s="16">
        <f>IF(V9&lt;UnosPodataka!$M$29,FinaIndikatori!V9+1,"")</f>
        <v>18</v>
      </c>
      <c r="X9" s="16">
        <f>IF(W9&lt;UnosPodataka!$M$29,FinaIndikatori!W9+1,"")</f>
        <v>19</v>
      </c>
      <c r="Y9" s="16">
        <f>IF(X9&lt;UnosPodataka!$M$29,FinaIndikatori!X9+1,"")</f>
        <v>20</v>
      </c>
    </row>
    <row r="11" spans="1:25" x14ac:dyDescent="0.25">
      <c r="A11" s="68" t="s">
        <v>85</v>
      </c>
      <c r="B11" s="68"/>
      <c r="C11" s="68"/>
      <c r="D11" s="68"/>
      <c r="E11" s="3">
        <f>+Loan</f>
        <v>20500</v>
      </c>
    </row>
    <row r="12" spans="1:25" x14ac:dyDescent="0.25">
      <c r="A12" s="68" t="s">
        <v>86</v>
      </c>
      <c r="B12" s="68"/>
      <c r="C12" s="68"/>
      <c r="D12" s="68"/>
      <c r="E12" s="3">
        <f>IF(Equity=0,Loan,Equity)</f>
        <v>5000</v>
      </c>
    </row>
    <row r="13" spans="1:25" x14ac:dyDescent="0.25">
      <c r="A13" s="68" t="s">
        <v>152</v>
      </c>
      <c r="B13" s="68"/>
      <c r="C13" s="68"/>
      <c r="D13" s="68"/>
      <c r="E13" s="3">
        <f>+PomTab1!K24</f>
        <v>10000</v>
      </c>
    </row>
    <row r="14" spans="1:25" x14ac:dyDescent="0.25">
      <c r="A14" s="68" t="s">
        <v>125</v>
      </c>
      <c r="B14" s="68"/>
      <c r="C14" s="68"/>
      <c r="D14" s="68"/>
      <c r="F14" s="3">
        <f t="shared" ref="F14:Y14" si="0">IF(F9&lt;&gt;"",HRED,"")</f>
        <v>98.000000000000014</v>
      </c>
      <c r="G14" s="3">
        <f t="shared" si="0"/>
        <v>98.000000000000014</v>
      </c>
      <c r="H14" s="3">
        <f t="shared" si="0"/>
        <v>98.000000000000014</v>
      </c>
      <c r="I14" s="3">
        <f t="shared" si="0"/>
        <v>98.000000000000014</v>
      </c>
      <c r="J14" s="3">
        <f t="shared" si="0"/>
        <v>98.000000000000014</v>
      </c>
      <c r="K14" s="3">
        <f t="shared" si="0"/>
        <v>98.000000000000014</v>
      </c>
      <c r="L14" s="3">
        <f t="shared" si="0"/>
        <v>98.000000000000014</v>
      </c>
      <c r="M14" s="3">
        <f t="shared" si="0"/>
        <v>98.000000000000014</v>
      </c>
      <c r="N14" s="3">
        <f t="shared" si="0"/>
        <v>98.000000000000014</v>
      </c>
      <c r="O14" s="3">
        <f t="shared" si="0"/>
        <v>98.000000000000014</v>
      </c>
      <c r="P14" s="3">
        <f t="shared" si="0"/>
        <v>98.000000000000014</v>
      </c>
      <c r="Q14" s="3">
        <f t="shared" si="0"/>
        <v>98.000000000000014</v>
      </c>
      <c r="R14" s="3">
        <f t="shared" si="0"/>
        <v>98.000000000000014</v>
      </c>
      <c r="S14" s="3">
        <f t="shared" si="0"/>
        <v>98.000000000000014</v>
      </c>
      <c r="T14" s="3">
        <f t="shared" si="0"/>
        <v>98.000000000000014</v>
      </c>
      <c r="U14" s="3">
        <f t="shared" si="0"/>
        <v>98.000000000000014</v>
      </c>
      <c r="V14" s="3">
        <f t="shared" si="0"/>
        <v>98.000000000000014</v>
      </c>
      <c r="W14" s="3">
        <f t="shared" si="0"/>
        <v>98.000000000000014</v>
      </c>
      <c r="X14" s="3">
        <f t="shared" si="0"/>
        <v>98.000000000000014</v>
      </c>
      <c r="Y14" s="3">
        <f t="shared" si="0"/>
        <v>98.000000000000014</v>
      </c>
    </row>
    <row r="15" spans="1:25" x14ac:dyDescent="0.25">
      <c r="A15" s="68" t="s">
        <v>126</v>
      </c>
      <c r="B15" s="68"/>
      <c r="C15" s="68"/>
      <c r="D15" s="68"/>
      <c r="F15" s="3">
        <f t="shared" ref="F15:Y15" si="1">ECONS*EFFTPS</f>
        <v>0.98000000000000009</v>
      </c>
      <c r="G15" s="3">
        <f t="shared" si="1"/>
        <v>0.98000000000000009</v>
      </c>
      <c r="H15" s="3">
        <f t="shared" si="1"/>
        <v>0.98000000000000009</v>
      </c>
      <c r="I15" s="3">
        <f t="shared" si="1"/>
        <v>0.98000000000000009</v>
      </c>
      <c r="J15" s="3">
        <f t="shared" si="1"/>
        <v>0.98000000000000009</v>
      </c>
      <c r="K15" s="3">
        <f t="shared" si="1"/>
        <v>0.98000000000000009</v>
      </c>
      <c r="L15" s="3">
        <f t="shared" si="1"/>
        <v>0.98000000000000009</v>
      </c>
      <c r="M15" s="3">
        <f t="shared" si="1"/>
        <v>0.98000000000000009</v>
      </c>
      <c r="N15" s="3">
        <f t="shared" si="1"/>
        <v>0.98000000000000009</v>
      </c>
      <c r="O15" s="3">
        <f t="shared" si="1"/>
        <v>0.98000000000000009</v>
      </c>
      <c r="P15" s="3">
        <f t="shared" si="1"/>
        <v>0.98000000000000009</v>
      </c>
      <c r="Q15" s="3">
        <f t="shared" si="1"/>
        <v>0.98000000000000009</v>
      </c>
      <c r="R15" s="3">
        <f t="shared" si="1"/>
        <v>0.98000000000000009</v>
      </c>
      <c r="S15" s="3">
        <f t="shared" si="1"/>
        <v>0.98000000000000009</v>
      </c>
      <c r="T15" s="3">
        <f t="shared" si="1"/>
        <v>0.98000000000000009</v>
      </c>
      <c r="U15" s="3">
        <f t="shared" si="1"/>
        <v>0.98000000000000009</v>
      </c>
      <c r="V15" s="3">
        <f t="shared" si="1"/>
        <v>0.98000000000000009</v>
      </c>
      <c r="W15" s="3">
        <f t="shared" si="1"/>
        <v>0.98000000000000009</v>
      </c>
      <c r="X15" s="3">
        <f t="shared" si="1"/>
        <v>0.98000000000000009</v>
      </c>
      <c r="Y15" s="3">
        <f t="shared" si="1"/>
        <v>0.98000000000000009</v>
      </c>
    </row>
    <row r="16" spans="1:25" x14ac:dyDescent="0.25">
      <c r="A16" s="69"/>
      <c r="B16" s="69"/>
      <c r="C16" s="69"/>
      <c r="D16" s="6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1" t="s">
        <v>153</v>
      </c>
      <c r="B17" s="61"/>
      <c r="C17" s="61"/>
      <c r="D17" s="6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8" t="s">
        <v>127</v>
      </c>
      <c r="B18" s="68"/>
      <c r="C18" s="68"/>
      <c r="D18" s="68"/>
      <c r="F18" s="3">
        <f t="shared" ref="F18:Y18" si="2">IF(F9&lt;&gt;"",Money,"")</f>
        <v>7524.4354790661264</v>
      </c>
      <c r="G18" s="3">
        <f t="shared" si="2"/>
        <v>7524.4354790661264</v>
      </c>
      <c r="H18" s="3">
        <f t="shared" si="2"/>
        <v>7524.4354790661264</v>
      </c>
      <c r="I18" s="3">
        <f t="shared" si="2"/>
        <v>7524.4354790661264</v>
      </c>
      <c r="J18" s="3">
        <f t="shared" si="2"/>
        <v>7524.4354790661264</v>
      </c>
      <c r="K18" s="3">
        <f t="shared" si="2"/>
        <v>7524.4354790661264</v>
      </c>
      <c r="L18" s="3">
        <f t="shared" si="2"/>
        <v>7524.4354790661264</v>
      </c>
      <c r="M18" s="3">
        <f t="shared" si="2"/>
        <v>7524.4354790661264</v>
      </c>
      <c r="N18" s="3">
        <f t="shared" si="2"/>
        <v>7524.4354790661264</v>
      </c>
      <c r="O18" s="3">
        <f t="shared" si="2"/>
        <v>7524.4354790661264</v>
      </c>
      <c r="P18" s="3">
        <f t="shared" si="2"/>
        <v>7524.4354790661264</v>
      </c>
      <c r="Q18" s="3">
        <f t="shared" si="2"/>
        <v>7524.4354790661264</v>
      </c>
      <c r="R18" s="3">
        <f t="shared" si="2"/>
        <v>7524.4354790661264</v>
      </c>
      <c r="S18" s="3">
        <f t="shared" si="2"/>
        <v>7524.4354790661264</v>
      </c>
      <c r="T18" s="3">
        <f t="shared" si="2"/>
        <v>7524.4354790661264</v>
      </c>
      <c r="U18" s="3">
        <f t="shared" si="2"/>
        <v>7524.4354790661264</v>
      </c>
      <c r="V18" s="3">
        <f t="shared" si="2"/>
        <v>7524.4354790661264</v>
      </c>
      <c r="W18" s="3">
        <f t="shared" si="2"/>
        <v>7524.4354790661264</v>
      </c>
      <c r="X18" s="3">
        <f t="shared" si="2"/>
        <v>7524.4354790661264</v>
      </c>
      <c r="Y18" s="3">
        <f t="shared" si="2"/>
        <v>7524.4354790661264</v>
      </c>
    </row>
    <row r="19" spans="1:25" x14ac:dyDescent="0.25">
      <c r="A19" s="73" t="s">
        <v>87</v>
      </c>
      <c r="B19" s="73"/>
      <c r="C19" s="73"/>
      <c r="D19" s="73"/>
      <c r="E19" s="32"/>
      <c r="F19" s="33">
        <f t="shared" ref="F19:Y19" si="3">IF(F9&lt;&gt;"",F18,"")</f>
        <v>7524.4354790661264</v>
      </c>
      <c r="G19" s="33">
        <f t="shared" si="3"/>
        <v>7524.4354790661264</v>
      </c>
      <c r="H19" s="33">
        <f t="shared" si="3"/>
        <v>7524.4354790661264</v>
      </c>
      <c r="I19" s="33">
        <f t="shared" si="3"/>
        <v>7524.4354790661264</v>
      </c>
      <c r="J19" s="33">
        <f t="shared" si="3"/>
        <v>7524.4354790661264</v>
      </c>
      <c r="K19" s="33">
        <f t="shared" si="3"/>
        <v>7524.4354790661264</v>
      </c>
      <c r="L19" s="33">
        <f t="shared" si="3"/>
        <v>7524.4354790661264</v>
      </c>
      <c r="M19" s="33">
        <f t="shared" si="3"/>
        <v>7524.4354790661264</v>
      </c>
      <c r="N19" s="33">
        <f t="shared" si="3"/>
        <v>7524.4354790661264</v>
      </c>
      <c r="O19" s="33">
        <f t="shared" si="3"/>
        <v>7524.4354790661264</v>
      </c>
      <c r="P19" s="33">
        <f t="shared" si="3"/>
        <v>7524.4354790661264</v>
      </c>
      <c r="Q19" s="33">
        <f t="shared" si="3"/>
        <v>7524.4354790661264</v>
      </c>
      <c r="R19" s="33">
        <f t="shared" si="3"/>
        <v>7524.4354790661264</v>
      </c>
      <c r="S19" s="33">
        <f t="shared" si="3"/>
        <v>7524.4354790661264</v>
      </c>
      <c r="T19" s="33">
        <f t="shared" si="3"/>
        <v>7524.4354790661264</v>
      </c>
      <c r="U19" s="33">
        <f t="shared" si="3"/>
        <v>7524.4354790661264</v>
      </c>
      <c r="V19" s="33">
        <f t="shared" si="3"/>
        <v>7524.4354790661264</v>
      </c>
      <c r="W19" s="33">
        <f t="shared" si="3"/>
        <v>7524.4354790661264</v>
      </c>
      <c r="X19" s="33">
        <f t="shared" si="3"/>
        <v>7524.4354790661264</v>
      </c>
      <c r="Y19" s="33">
        <f t="shared" si="3"/>
        <v>7524.4354790661264</v>
      </c>
    </row>
    <row r="20" spans="1:25" x14ac:dyDescent="0.25">
      <c r="A20" s="69"/>
      <c r="B20" s="69"/>
      <c r="C20" s="69"/>
      <c r="D20" s="69"/>
    </row>
    <row r="21" spans="1:25" x14ac:dyDescent="0.25">
      <c r="A21" s="61" t="s">
        <v>154</v>
      </c>
      <c r="B21" s="61"/>
      <c r="C21" s="61"/>
      <c r="D21" s="61"/>
    </row>
    <row r="22" spans="1:25" x14ac:dyDescent="0.25">
      <c r="A22" s="68" t="s">
        <v>155</v>
      </c>
      <c r="B22" s="68"/>
      <c r="C22" s="68"/>
      <c r="D22" s="68"/>
      <c r="F22" s="3">
        <f>IF(F9&gt;UnosPodataka!$M$26,"",-VLOOKUP(F9,Anuiteti!$B$13:$E$32,3,FALSE))</f>
        <v>-2460</v>
      </c>
      <c r="G22" s="3">
        <f>IF(G9&gt;UnosPodataka!$M$26,"",-VLOOKUP(G9,Anuiteti!$B$13:$E$32,3,FALSE))</f>
        <v>-2259.9950102135635</v>
      </c>
      <c r="H22" s="3">
        <f>IF(H9&gt;UnosPodataka!$M$26,"",-VLOOKUP(H9,Anuiteti!$B$13:$E$32,3,FALSE))</f>
        <v>-2035.9894216527546</v>
      </c>
      <c r="I22" s="3">
        <f>IF(I9&gt;UnosPodataka!$M$26,"",-VLOOKUP(I9,Anuiteti!$B$13:$E$32,3,FALSE))</f>
        <v>-1785.1031624646482</v>
      </c>
      <c r="J22" s="3">
        <f>IF(J9&gt;UnosPodataka!$M$26,"",-VLOOKUP(J9,Anuiteti!$B$13:$E$32,3,FALSE))</f>
        <v>-1504.1105521739692</v>
      </c>
      <c r="K22" s="3">
        <f>IF(K9&gt;UnosPodataka!$M$26,"",-VLOOKUP(K9,Anuiteti!$B$13:$E$32,3,FALSE))</f>
        <v>-1189.3988286484087</v>
      </c>
      <c r="L22" s="3">
        <f>IF(L9&gt;UnosPodataka!$M$26,"",-VLOOKUP(L9,Anuiteti!$B$13:$E$32,3,FALSE))</f>
        <v>-836.92169829978104</v>
      </c>
      <c r="M22" s="3">
        <f>IF(M9&gt;UnosPodataka!$M$26,"",-VLOOKUP(M9,Anuiteti!$B$13:$E$32,3,FALSE))</f>
        <v>-442.14731230931818</v>
      </c>
      <c r="N22" s="3" t="str">
        <f>IF(N9&gt;UnosPodataka!$M$26,"",-VLOOKUP(N9,Anuiteti!$B$13:$E$32,3,FALSE))</f>
        <v/>
      </c>
      <c r="O22" s="3" t="str">
        <f>IF(O9&gt;UnosPodataka!$M$26,"",-VLOOKUP(O9,Anuiteti!$B$13:$E$32,3,FALSE))</f>
        <v/>
      </c>
      <c r="P22" s="3" t="str">
        <f>IF(P9&gt;UnosPodataka!$M$26,"",-VLOOKUP(P9,Anuiteti!$B$13:$E$32,3,FALSE))</f>
        <v/>
      </c>
      <c r="Q22" s="3" t="str">
        <f>IF(Q9&gt;UnosPodataka!$M$26,"",-VLOOKUP(Q9,Anuiteti!$B$13:$E$32,3,FALSE))</f>
        <v/>
      </c>
      <c r="R22" s="3" t="str">
        <f>IF(R9&gt;UnosPodataka!$M$26,"",-VLOOKUP(R9,Anuiteti!$B$13:$E$32,3,FALSE))</f>
        <v/>
      </c>
      <c r="S22" s="3" t="str">
        <f>IF(S9&gt;UnosPodataka!$M$26,"",-VLOOKUP(S9,Anuiteti!$B$13:$E$32,3,FALSE))</f>
        <v/>
      </c>
      <c r="T22" s="3" t="str">
        <f>IF(T9&gt;UnosPodataka!$M$26,"",-VLOOKUP(T9,Anuiteti!$B$13:$E$32,3,FALSE))</f>
        <v/>
      </c>
      <c r="U22" s="3" t="str">
        <f>IF(U9&gt;UnosPodataka!$M$26,"",-VLOOKUP(U9,Anuiteti!$B$13:$E$32,3,FALSE))</f>
        <v/>
      </c>
      <c r="V22" s="3" t="str">
        <f>IF(V9&gt;UnosPodataka!$M$26,"",-VLOOKUP(V9,Anuiteti!$B$13:$E$32,3,FALSE))</f>
        <v/>
      </c>
      <c r="W22" s="3" t="str">
        <f>IF(W9&gt;UnosPodataka!$M$26,"",-VLOOKUP(W9,Anuiteti!$B$13:$E$32,3,FALSE))</f>
        <v/>
      </c>
      <c r="X22" s="3" t="str">
        <f>IF(X9&gt;UnosPodataka!$M$26,"",-VLOOKUP(X9,Anuiteti!$B$13:$E$32,3,FALSE))</f>
        <v/>
      </c>
      <c r="Y22" s="3" t="str">
        <f>IF(Y9&gt;UnosPodataka!$M$26,"",-VLOOKUP(Y9,Anuiteti!$B$13:$E$32,3,FALSE))</f>
        <v/>
      </c>
    </row>
    <row r="23" spans="1:25" x14ac:dyDescent="0.25">
      <c r="A23" s="22" t="s">
        <v>156</v>
      </c>
      <c r="B23" s="22"/>
      <c r="C23" s="22"/>
      <c r="D23" s="22"/>
      <c r="F23" s="3">
        <f>IF(F22="",0,IF(F9&gt;UnosPodataka!$M$26,"",VLOOKUP(F9,Anuiteti!$B$13:$E$32,4,FALSE)+VLOOKUP(F9,Anuiteti!$B$13:$E$32,3,FALSE)))</f>
        <v>-1666.7082482203059</v>
      </c>
      <c r="G23" s="3">
        <f>IF(G22="",0,IF(G9&gt;UnosPodataka!$M$26,"",VLOOKUP(G9,Anuiteti!$B$13:$E$32,4,FALSE)+VLOOKUP(G9,Anuiteti!$B$13:$E$32,3,FALSE)))</f>
        <v>-1866.7132380067424</v>
      </c>
      <c r="H23" s="3">
        <f>IF(H22="",0,IF(H9&gt;UnosPodataka!$M$26,"",VLOOKUP(H9,Anuiteti!$B$13:$E$32,4,FALSE)+VLOOKUP(H9,Anuiteti!$B$13:$E$32,3,FALSE)))</f>
        <v>-2090.7188265675513</v>
      </c>
      <c r="I23" s="3">
        <f>IF(I22="",0,IF(I9&gt;UnosPodataka!$M$26,"",VLOOKUP(I9,Anuiteti!$B$13:$E$32,4,FALSE)+VLOOKUP(I9,Anuiteti!$B$13:$E$32,3,FALSE)))</f>
        <v>-2341.6050857556575</v>
      </c>
      <c r="J23" s="3">
        <f>IF(J22="",0,IF(J9&gt;UnosPodataka!$M$26,"",VLOOKUP(J9,Anuiteti!$B$13:$E$32,4,FALSE)+VLOOKUP(J9,Anuiteti!$B$13:$E$32,3,FALSE)))</f>
        <v>-2622.5976960463368</v>
      </c>
      <c r="K23" s="3">
        <f>IF(K22="",0,IF(K9&gt;UnosPodataka!$M$26,"",VLOOKUP(K9,Anuiteti!$B$13:$E$32,4,FALSE)+VLOOKUP(K9,Anuiteti!$B$13:$E$32,3,FALSE)))</f>
        <v>-2937.3094195718973</v>
      </c>
      <c r="L23" s="3">
        <f>IF(L22="",0,IF(L9&gt;UnosPodataka!$M$26,"",VLOOKUP(L9,Anuiteti!$B$13:$E$32,4,FALSE)+VLOOKUP(L9,Anuiteti!$B$13:$E$32,3,FALSE)))</f>
        <v>-3289.786549920525</v>
      </c>
      <c r="M23" s="3">
        <f>IF(M22="",0,IF(M9&gt;UnosPodataka!$M$26,"",VLOOKUP(M9,Anuiteti!$B$13:$E$32,4,FALSE)+VLOOKUP(M9,Anuiteti!$B$13:$E$32,3,FALSE)))</f>
        <v>-3684.5609359109876</v>
      </c>
      <c r="N23" s="3">
        <f>IF(N22="",0,IF(N9&gt;UnosPodataka!$M$26,"",VLOOKUP(N9,Anuiteti!$B$13:$E$32,4,FALSE)+VLOOKUP(N9,Anuiteti!$B$13:$E$32,3,FALSE)))</f>
        <v>0</v>
      </c>
      <c r="O23" s="3">
        <f>IF(O22="",0,IF(O9&gt;UnosPodataka!$M$26,"",VLOOKUP(O9,Anuiteti!$B$13:$E$32,4,FALSE)+VLOOKUP(O9,Anuiteti!$B$13:$E$32,3,FALSE)))</f>
        <v>0</v>
      </c>
      <c r="P23" s="3">
        <f>IF(P22="",0,IF(P9&gt;UnosPodataka!$M$26,"",VLOOKUP(P9,Anuiteti!$B$13:$E$32,4,FALSE)+VLOOKUP(P9,Anuiteti!$B$13:$E$32,3,FALSE)))</f>
        <v>0</v>
      </c>
      <c r="Q23" s="3">
        <f>IF(Q22="",0,IF(Q9&gt;UnosPodataka!$M$26,"",VLOOKUP(Q9,Anuiteti!$B$13:$E$32,4,FALSE)+VLOOKUP(Q9,Anuiteti!$B$13:$E$32,3,FALSE)))</f>
        <v>0</v>
      </c>
      <c r="R23" s="3">
        <f>IF(R22="",0,IF(R9&gt;UnosPodataka!$M$26,"",VLOOKUP(R9,Anuiteti!$B$13:$E$32,4,FALSE)+VLOOKUP(R9,Anuiteti!$B$13:$E$32,3,FALSE)))</f>
        <v>0</v>
      </c>
      <c r="S23" s="3">
        <f>IF(S22="",0,IF(S9&gt;UnosPodataka!$M$26,"",VLOOKUP(S9,Anuiteti!$B$13:$E$32,4,FALSE)+VLOOKUP(S9,Anuiteti!$B$13:$E$32,3,FALSE)))</f>
        <v>0</v>
      </c>
      <c r="T23" s="3">
        <f>IF(T22="",0,IF(T9&gt;UnosPodataka!$M$26,"",VLOOKUP(T9,Anuiteti!$B$13:$E$32,4,FALSE)+VLOOKUP(T9,Anuiteti!$B$13:$E$32,3,FALSE)))</f>
        <v>0</v>
      </c>
      <c r="U23" s="3">
        <f>IF(U22="",0,IF(U9&gt;UnosPodataka!$M$26,"",VLOOKUP(U9,Anuiteti!$B$13:$E$32,4,FALSE)+VLOOKUP(U9,Anuiteti!$B$13:$E$32,3,FALSE)))</f>
        <v>0</v>
      </c>
      <c r="V23" s="3">
        <f>IF(V22="",0,IF(V9&gt;UnosPodataka!$M$26,"",VLOOKUP(V9,Anuiteti!$B$13:$E$32,4,FALSE)+VLOOKUP(V9,Anuiteti!$B$13:$E$32,3,FALSE)))</f>
        <v>0</v>
      </c>
      <c r="W23" s="3">
        <f>IF(W22="",0,IF(W9&gt;UnosPodataka!$M$26,"",VLOOKUP(W9,Anuiteti!$B$13:$E$32,4,FALSE)+VLOOKUP(W9,Anuiteti!$B$13:$E$32,3,FALSE)))</f>
        <v>0</v>
      </c>
      <c r="X23" s="3">
        <f>IF(X22="",0,IF(X9&gt;UnosPodataka!$M$26,"",VLOOKUP(X9,Anuiteti!$B$13:$E$32,4,FALSE)+VLOOKUP(X9,Anuiteti!$B$13:$E$32,3,FALSE)))</f>
        <v>0</v>
      </c>
      <c r="Y23" s="3">
        <f>IF(Y22="",0,IF(Y9&gt;UnosPodataka!$M$26,"",VLOOKUP(Y9,Anuiteti!$B$13:$E$32,4,FALSE)+VLOOKUP(Y9,Anuiteti!$B$13:$E$32,3,FALSE)))</f>
        <v>0</v>
      </c>
    </row>
    <row r="24" spans="1:25" x14ac:dyDescent="0.25">
      <c r="A24" s="68" t="s">
        <v>88</v>
      </c>
      <c r="B24" s="68"/>
      <c r="C24" s="68"/>
      <c r="D24" s="68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68" t="s">
        <v>89</v>
      </c>
      <c r="B25" s="68"/>
      <c r="C25" s="68"/>
      <c r="D25" s="68"/>
      <c r="F25" s="3">
        <f>IF(F9&lt;&gt;"",-Investment*UnosPodataka!$M$11,"")</f>
        <v>-532.5</v>
      </c>
      <c r="G25" s="3">
        <f>IF(G9&lt;&gt;"",-Investment*UnosPodataka!$M$11,"")</f>
        <v>-532.5</v>
      </c>
      <c r="H25" s="3">
        <f>IF(H9&lt;&gt;"",-Investment*UnosPodataka!$M$11,"")</f>
        <v>-532.5</v>
      </c>
      <c r="I25" s="3">
        <f>IF(I9&lt;&gt;"",-Investment*UnosPodataka!$M$11,"")</f>
        <v>-532.5</v>
      </c>
      <c r="J25" s="3">
        <f>IF(J9&lt;&gt;"",-Investment*UnosPodataka!$M$11,"")</f>
        <v>-532.5</v>
      </c>
      <c r="K25" s="3">
        <f>IF(K9&lt;&gt;"",-Investment*UnosPodataka!$M$11,"")</f>
        <v>-532.5</v>
      </c>
      <c r="L25" s="3">
        <f>IF(L9&lt;&gt;"",-Investment*UnosPodataka!$M$11,"")</f>
        <v>-532.5</v>
      </c>
      <c r="M25" s="3">
        <f>IF(M9&lt;&gt;"",-Investment*UnosPodataka!$M$11,"")</f>
        <v>-532.5</v>
      </c>
      <c r="N25" s="3">
        <f>IF(N9&lt;&gt;"",-Investment*UnosPodataka!$M$11,"")</f>
        <v>-532.5</v>
      </c>
      <c r="O25" s="3">
        <f>IF(O9&lt;&gt;"",-Investment*UnosPodataka!$M$11,"")</f>
        <v>-532.5</v>
      </c>
      <c r="P25" s="3">
        <f>IF(P9&lt;&gt;"",-Investment*UnosPodataka!$M$11,"")</f>
        <v>-532.5</v>
      </c>
      <c r="Q25" s="3">
        <f>IF(Q9&lt;&gt;"",-Investment*UnosPodataka!$M$11,"")</f>
        <v>-532.5</v>
      </c>
      <c r="R25" s="3">
        <f>IF(R9&lt;&gt;"",-Investment*UnosPodataka!$M$11,"")</f>
        <v>-532.5</v>
      </c>
      <c r="S25" s="3">
        <f>IF(S9&lt;&gt;"",-Investment*UnosPodataka!$M$11,"")</f>
        <v>-532.5</v>
      </c>
      <c r="T25" s="3">
        <f>IF(T9&lt;&gt;"",-Investment*UnosPodataka!$M$11,"")</f>
        <v>-532.5</v>
      </c>
      <c r="U25" s="3">
        <f>IF(U9&lt;&gt;"",-Investment*UnosPodataka!$M$11,"")</f>
        <v>-532.5</v>
      </c>
      <c r="V25" s="3">
        <f>IF(V9&lt;&gt;"",-Investment*UnosPodataka!$M$11,"")</f>
        <v>-532.5</v>
      </c>
      <c r="W25" s="3">
        <f>IF(W9&lt;&gt;"",-Investment*UnosPodataka!$M$11,"")</f>
        <v>-532.5</v>
      </c>
      <c r="X25" s="3">
        <f>IF(X9&lt;&gt;"",-Investment*UnosPodataka!$M$11,"")</f>
        <v>-532.5</v>
      </c>
      <c r="Y25" s="3">
        <f>IF(Y9&lt;&gt;"",-Investment*UnosPodataka!$M$11,"")</f>
        <v>-532.5</v>
      </c>
    </row>
    <row r="26" spans="1:25" x14ac:dyDescent="0.25">
      <c r="A26" s="68" t="s">
        <v>90</v>
      </c>
      <c r="B26" s="68"/>
      <c r="C26" s="68"/>
      <c r="D26" s="68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x14ac:dyDescent="0.25">
      <c r="A27" s="68" t="s">
        <v>157</v>
      </c>
      <c r="B27" s="68"/>
      <c r="C27" s="68"/>
      <c r="D27" s="68"/>
      <c r="F27" s="3">
        <f>IF(F9&lt;&gt;"",-Investment*UnosPodataka!$M$12,"")</f>
        <v>-3550</v>
      </c>
      <c r="G27" s="3">
        <f>IF(G9&lt;&gt;"",-Investment*UnosPodataka!$M$12,"")</f>
        <v>-3550</v>
      </c>
      <c r="H27" s="3">
        <f>IF(H9&lt;&gt;"",-Investment*UnosPodataka!$M$12,"")</f>
        <v>-3550</v>
      </c>
      <c r="I27" s="3">
        <f>IF(I9&lt;&gt;"",-Investment*UnosPodataka!$M$12,"")</f>
        <v>-3550</v>
      </c>
      <c r="J27" s="3">
        <f>IF(J9&lt;&gt;"",-Investment*UnosPodataka!$M$12,"")</f>
        <v>-3550</v>
      </c>
      <c r="K27" s="3">
        <f>IF(K9&lt;&gt;"",-Investment*UnosPodataka!$M$12,"")</f>
        <v>-3550</v>
      </c>
      <c r="L27" s="3">
        <f>IF(L9&lt;&gt;"",-Investment*UnosPodataka!$M$12,"")</f>
        <v>-3550</v>
      </c>
      <c r="M27" s="3">
        <f>IF(M9&lt;&gt;"",-Investment*UnosPodataka!$M$12,"")</f>
        <v>-3550</v>
      </c>
      <c r="N27" s="3">
        <f>IF(N9&lt;&gt;"",-Investment*UnosPodataka!$M$12,"")</f>
        <v>-3550</v>
      </c>
      <c r="O27" s="3">
        <f>IF(O9&lt;&gt;"",-Investment*UnosPodataka!$M$12,"")</f>
        <v>-3550</v>
      </c>
      <c r="P27" s="3">
        <f>IF(P9&lt;&gt;"",-Investment*UnosPodataka!$M$12,"")</f>
        <v>-3550</v>
      </c>
      <c r="Q27" s="3">
        <f>IF(Q9&lt;&gt;"",-Investment*UnosPodataka!$M$12,"")</f>
        <v>-3550</v>
      </c>
      <c r="R27" s="3">
        <f>IF(R9&lt;&gt;"",-Investment*UnosPodataka!$M$12,"")</f>
        <v>-3550</v>
      </c>
      <c r="S27" s="3">
        <f>IF(S9&lt;&gt;"",-Investment*UnosPodataka!$M$12,"")</f>
        <v>-3550</v>
      </c>
      <c r="T27" s="3">
        <f>IF(T9&lt;&gt;"",-Investment*UnosPodataka!$M$12,"")</f>
        <v>-3550</v>
      </c>
      <c r="U27" s="3">
        <f>IF(U9&lt;&gt;"",-Investment*UnosPodataka!$M$12,"")</f>
        <v>-3550</v>
      </c>
      <c r="V27" s="3">
        <f>IF(V9&lt;&gt;"",-Investment*UnosPodataka!$M$12,"")</f>
        <v>-3550</v>
      </c>
      <c r="W27" s="3">
        <f>IF(W9&lt;&gt;"",-Investment*UnosPodataka!$M$12,"")</f>
        <v>-3550</v>
      </c>
      <c r="X27" s="3">
        <f>IF(X9&lt;&gt;"",-Investment*UnosPodataka!$M$12,"")</f>
        <v>-3550</v>
      </c>
      <c r="Y27" s="3">
        <f>IF(Y9&lt;&gt;"",-Investment*UnosPodataka!$M$12,"")</f>
        <v>-3550</v>
      </c>
    </row>
    <row r="28" spans="1:25" x14ac:dyDescent="0.25">
      <c r="A28" s="68" t="s">
        <v>91</v>
      </c>
      <c r="B28" s="68"/>
      <c r="C28" s="68"/>
      <c r="D28" s="68"/>
      <c r="F28" s="3">
        <f>IF(F9&lt;&gt;"",-(1-UnosPodataka!$M$10)*FinaIndikatori!F18,"")</f>
        <v>0</v>
      </c>
      <c r="G28" s="3">
        <f>IF(G9&lt;&gt;"",-(1-UnosPodataka!$M$10)*FinaIndikatori!G18,"")</f>
        <v>0</v>
      </c>
      <c r="H28" s="3">
        <f>IF(H9&lt;&gt;"",-(1-UnosPodataka!$M$10)*FinaIndikatori!H18,"")</f>
        <v>0</v>
      </c>
      <c r="I28" s="3">
        <f>IF(I9&lt;&gt;"",-(1-UnosPodataka!$M$10)*FinaIndikatori!I18,"")</f>
        <v>0</v>
      </c>
      <c r="J28" s="3">
        <f>IF(J9&lt;&gt;"",-(1-UnosPodataka!$M$10)*FinaIndikatori!J18,"")</f>
        <v>0</v>
      </c>
      <c r="K28" s="3">
        <f>IF(K9&lt;&gt;"",-(1-UnosPodataka!$M$10)*FinaIndikatori!K18,"")</f>
        <v>0</v>
      </c>
      <c r="L28" s="3">
        <f>IF(L9&lt;&gt;"",-(1-UnosPodataka!$M$10)*FinaIndikatori!L18,"")</f>
        <v>0</v>
      </c>
      <c r="M28" s="3">
        <f>IF(M9&lt;&gt;"",-(1-UnosPodataka!$M$10)*FinaIndikatori!M18,"")</f>
        <v>0</v>
      </c>
      <c r="N28" s="3">
        <f>IF(N9&lt;&gt;"",-(1-UnosPodataka!$M$10)*FinaIndikatori!N18,"")</f>
        <v>0</v>
      </c>
      <c r="O28" s="3">
        <f>IF(O9&lt;&gt;"",-(1-UnosPodataka!$M$10)*FinaIndikatori!O18,"")</f>
        <v>0</v>
      </c>
      <c r="P28" s="3">
        <f>IF(P9&lt;&gt;"",-(1-UnosPodataka!$M$10)*FinaIndikatori!P18,"")</f>
        <v>0</v>
      </c>
      <c r="Q28" s="3">
        <f>IF(Q9&lt;&gt;"",-(1-UnosPodataka!$M$10)*FinaIndikatori!Q18,"")</f>
        <v>0</v>
      </c>
      <c r="R28" s="3">
        <f>IF(R9&lt;&gt;"",-(1-UnosPodataka!$M$10)*FinaIndikatori!R18,"")</f>
        <v>0</v>
      </c>
      <c r="S28" s="3">
        <f>IF(S9&lt;&gt;"",-(1-UnosPodataka!$M$10)*FinaIndikatori!S18,"")</f>
        <v>0</v>
      </c>
      <c r="T28" s="3">
        <f>IF(T9&lt;&gt;"",-(1-UnosPodataka!$M$10)*FinaIndikatori!T18,"")</f>
        <v>0</v>
      </c>
      <c r="U28" s="3">
        <f>IF(U9&lt;&gt;"",-(1-UnosPodataka!$M$10)*FinaIndikatori!U18,"")</f>
        <v>0</v>
      </c>
      <c r="V28" s="3">
        <f>IF(V9&lt;&gt;"",-(1-UnosPodataka!$M$10)*FinaIndikatori!V18,"")</f>
        <v>0</v>
      </c>
      <c r="W28" s="3">
        <f>IF(W9&lt;&gt;"",-(1-UnosPodataka!$M$10)*FinaIndikatori!W18,"")</f>
        <v>0</v>
      </c>
      <c r="X28" s="3">
        <f>IF(X9&lt;&gt;"",-(1-UnosPodataka!$M$10)*FinaIndikatori!X18,"")</f>
        <v>0</v>
      </c>
      <c r="Y28" s="3">
        <f>IF(Y9&lt;&gt;"",-(1-UnosPodataka!$M$10)*FinaIndikatori!Y18,"")</f>
        <v>0</v>
      </c>
    </row>
    <row r="29" spans="1:25" x14ac:dyDescent="0.25">
      <c r="A29" s="73" t="s">
        <v>92</v>
      </c>
      <c r="B29" s="73"/>
      <c r="C29" s="73"/>
      <c r="D29" s="73"/>
      <c r="E29" s="32"/>
      <c r="F29" s="33">
        <f t="shared" ref="F29:Y29" si="4">IF(F9&lt;&gt;"",SUM(F22:F28),"")</f>
        <v>-8309.2082482203059</v>
      </c>
      <c r="G29" s="33">
        <f t="shared" si="4"/>
        <v>-8309.2082482203059</v>
      </c>
      <c r="H29" s="33">
        <f t="shared" si="4"/>
        <v>-8309.2082482203059</v>
      </c>
      <c r="I29" s="33">
        <f t="shared" si="4"/>
        <v>-8309.2082482203059</v>
      </c>
      <c r="J29" s="33">
        <f t="shared" si="4"/>
        <v>-8309.2082482203059</v>
      </c>
      <c r="K29" s="33">
        <f t="shared" si="4"/>
        <v>-8309.2082482203059</v>
      </c>
      <c r="L29" s="33">
        <f t="shared" si="4"/>
        <v>-8309.2082482203059</v>
      </c>
      <c r="M29" s="33">
        <f t="shared" si="4"/>
        <v>-8309.2082482203059</v>
      </c>
      <c r="N29" s="33">
        <f t="shared" si="4"/>
        <v>-4182.5</v>
      </c>
      <c r="O29" s="33">
        <f t="shared" si="4"/>
        <v>-4182.5</v>
      </c>
      <c r="P29" s="33">
        <f t="shared" si="4"/>
        <v>-4182.5</v>
      </c>
      <c r="Q29" s="33">
        <f t="shared" si="4"/>
        <v>-4182.5</v>
      </c>
      <c r="R29" s="33">
        <f t="shared" si="4"/>
        <v>-4182.5</v>
      </c>
      <c r="S29" s="33">
        <f t="shared" si="4"/>
        <v>-4182.5</v>
      </c>
      <c r="T29" s="33">
        <f t="shared" si="4"/>
        <v>-4182.5</v>
      </c>
      <c r="U29" s="33">
        <f t="shared" si="4"/>
        <v>-4182.5</v>
      </c>
      <c r="V29" s="33">
        <f t="shared" si="4"/>
        <v>-4182.5</v>
      </c>
      <c r="W29" s="33">
        <f t="shared" si="4"/>
        <v>-4182.5</v>
      </c>
      <c r="X29" s="33">
        <f t="shared" si="4"/>
        <v>-4182.5</v>
      </c>
      <c r="Y29" s="33">
        <f t="shared" si="4"/>
        <v>-4182.5</v>
      </c>
    </row>
    <row r="31" spans="1:25" x14ac:dyDescent="0.25">
      <c r="A31" t="s">
        <v>158</v>
      </c>
      <c r="E31" s="3">
        <f>-SUM(E11:E13)</f>
        <v>-35500</v>
      </c>
      <c r="F31" s="3">
        <f>+F29-F27-F34</f>
        <v>-4891.4985700802245</v>
      </c>
      <c r="G31" s="3">
        <f t="shared" ref="G31:Y31" si="5">+G29-G27-G34</f>
        <v>-4921.4993185481908</v>
      </c>
      <c r="H31" s="3">
        <f t="shared" si="5"/>
        <v>-4955.1001568323118</v>
      </c>
      <c r="I31" s="3">
        <f t="shared" si="5"/>
        <v>-4992.7330957105278</v>
      </c>
      <c r="J31" s="3">
        <f t="shared" si="5"/>
        <v>-5034.8819872541299</v>
      </c>
      <c r="K31" s="3">
        <f t="shared" si="5"/>
        <v>-5082.088745782964</v>
      </c>
      <c r="L31" s="3">
        <f t="shared" si="5"/>
        <v>-5134.9603153352573</v>
      </c>
      <c r="M31" s="3">
        <f t="shared" si="5"/>
        <v>-5194.176473233827</v>
      </c>
      <c r="N31" s="3">
        <f t="shared" si="5"/>
        <v>-1133.790321859919</v>
      </c>
      <c r="O31" s="3">
        <f t="shared" si="5"/>
        <v>-1133.790321859919</v>
      </c>
      <c r="P31" s="3">
        <f t="shared" si="5"/>
        <v>-1133.790321859919</v>
      </c>
      <c r="Q31" s="3">
        <f t="shared" si="5"/>
        <v>-1133.790321859919</v>
      </c>
      <c r="R31" s="3">
        <f t="shared" si="5"/>
        <v>-1133.790321859919</v>
      </c>
      <c r="S31" s="3">
        <f t="shared" si="5"/>
        <v>-1133.790321859919</v>
      </c>
      <c r="T31" s="3">
        <f t="shared" si="5"/>
        <v>-1133.790321859919</v>
      </c>
      <c r="U31" s="3">
        <f t="shared" si="5"/>
        <v>-1133.790321859919</v>
      </c>
      <c r="V31" s="3">
        <f t="shared" si="5"/>
        <v>-1133.790321859919</v>
      </c>
      <c r="W31" s="3">
        <f t="shared" si="5"/>
        <v>-1133.790321859919</v>
      </c>
      <c r="X31" s="3">
        <f t="shared" si="5"/>
        <v>-1133.790321859919</v>
      </c>
      <c r="Y31" s="3">
        <f t="shared" si="5"/>
        <v>-1133.790321859919</v>
      </c>
    </row>
    <row r="32" spans="1:25" x14ac:dyDescent="0.25">
      <c r="A32" s="61" t="s">
        <v>159</v>
      </c>
      <c r="B32" s="61"/>
      <c r="C32" s="61"/>
      <c r="D32" s="61"/>
      <c r="F32" s="3">
        <f>+F19-F23+F29</f>
        <v>881.93547906612548</v>
      </c>
      <c r="G32" s="3">
        <f t="shared" ref="G32:Y32" si="6">+G19-G23+G29</f>
        <v>1081.9404688525628</v>
      </c>
      <c r="H32" s="3">
        <f t="shared" si="6"/>
        <v>1305.9460574133718</v>
      </c>
      <c r="I32" s="3">
        <f t="shared" si="6"/>
        <v>1556.8323166014779</v>
      </c>
      <c r="J32" s="3">
        <f t="shared" si="6"/>
        <v>1837.8249268921572</v>
      </c>
      <c r="K32" s="3">
        <f t="shared" si="6"/>
        <v>2152.5366504177182</v>
      </c>
      <c r="L32" s="3">
        <f t="shared" si="6"/>
        <v>2505.013780766345</v>
      </c>
      <c r="M32" s="3">
        <f t="shared" si="6"/>
        <v>2899.788166756809</v>
      </c>
      <c r="N32" s="3">
        <f t="shared" si="6"/>
        <v>3341.9354790661264</v>
      </c>
      <c r="O32" s="3">
        <f t="shared" si="6"/>
        <v>3341.9354790661264</v>
      </c>
      <c r="P32" s="3">
        <f t="shared" si="6"/>
        <v>3341.9354790661264</v>
      </c>
      <c r="Q32" s="3">
        <f t="shared" si="6"/>
        <v>3341.9354790661264</v>
      </c>
      <c r="R32" s="3">
        <f t="shared" si="6"/>
        <v>3341.9354790661264</v>
      </c>
      <c r="S32" s="3">
        <f t="shared" si="6"/>
        <v>3341.9354790661264</v>
      </c>
      <c r="T32" s="3">
        <f t="shared" si="6"/>
        <v>3341.9354790661264</v>
      </c>
      <c r="U32" s="3">
        <f t="shared" si="6"/>
        <v>3341.9354790661264</v>
      </c>
      <c r="V32" s="3">
        <f t="shared" si="6"/>
        <v>3341.9354790661264</v>
      </c>
      <c r="W32" s="3">
        <f t="shared" si="6"/>
        <v>3341.9354790661264</v>
      </c>
      <c r="X32" s="3">
        <f t="shared" si="6"/>
        <v>3341.9354790661264</v>
      </c>
      <c r="Y32" s="3">
        <f t="shared" si="6"/>
        <v>3341.9354790661264</v>
      </c>
    </row>
    <row r="33" spans="1:25" x14ac:dyDescent="0.25">
      <c r="A33" s="74"/>
      <c r="B33" s="74"/>
      <c r="C33" s="74"/>
      <c r="D33" s="74"/>
    </row>
    <row r="34" spans="1:25" x14ac:dyDescent="0.25">
      <c r="A34" s="68" t="s">
        <v>93</v>
      </c>
      <c r="B34" s="68"/>
      <c r="C34" s="68"/>
      <c r="D34" s="68"/>
      <c r="F34" s="3">
        <f t="shared" ref="F34:Y34" si="7">IF(F9&lt;&gt;"",IF(F32&gt;0,F32*VAT,0),"")</f>
        <v>132.29032185991881</v>
      </c>
      <c r="G34" s="3">
        <f t="shared" si="7"/>
        <v>162.29107032788443</v>
      </c>
      <c r="H34" s="3">
        <f t="shared" si="7"/>
        <v>195.89190861200578</v>
      </c>
      <c r="I34" s="3">
        <f t="shared" si="7"/>
        <v>233.52484749022167</v>
      </c>
      <c r="J34" s="3">
        <f t="shared" si="7"/>
        <v>275.67373903382355</v>
      </c>
      <c r="K34" s="3">
        <f t="shared" si="7"/>
        <v>322.88049756265769</v>
      </c>
      <c r="L34" s="3">
        <f t="shared" si="7"/>
        <v>375.75206711495173</v>
      </c>
      <c r="M34" s="3">
        <f t="shared" si="7"/>
        <v>434.96822501352136</v>
      </c>
      <c r="N34" s="3">
        <f t="shared" si="7"/>
        <v>501.29032185991895</v>
      </c>
      <c r="O34" s="3">
        <f t="shared" si="7"/>
        <v>501.29032185991895</v>
      </c>
      <c r="P34" s="3">
        <f t="shared" si="7"/>
        <v>501.29032185991895</v>
      </c>
      <c r="Q34" s="3">
        <f t="shared" si="7"/>
        <v>501.29032185991895</v>
      </c>
      <c r="R34" s="3">
        <f t="shared" si="7"/>
        <v>501.29032185991895</v>
      </c>
      <c r="S34" s="3">
        <f t="shared" si="7"/>
        <v>501.29032185991895</v>
      </c>
      <c r="T34" s="3">
        <f t="shared" si="7"/>
        <v>501.29032185991895</v>
      </c>
      <c r="U34" s="3">
        <f t="shared" si="7"/>
        <v>501.29032185991895</v>
      </c>
      <c r="V34" s="3">
        <f t="shared" si="7"/>
        <v>501.29032185991895</v>
      </c>
      <c r="W34" s="3">
        <f t="shared" si="7"/>
        <v>501.29032185991895</v>
      </c>
      <c r="X34" s="3">
        <f t="shared" si="7"/>
        <v>501.29032185991895</v>
      </c>
      <c r="Y34" s="3">
        <f t="shared" si="7"/>
        <v>501.29032185991895</v>
      </c>
    </row>
    <row r="35" spans="1:25" x14ac:dyDescent="0.25">
      <c r="A35" s="61" t="s">
        <v>94</v>
      </c>
      <c r="B35" s="61"/>
      <c r="C35" s="61"/>
      <c r="D35" s="61"/>
      <c r="E35" s="3"/>
      <c r="F35" s="3">
        <f t="shared" ref="F35:Y35" si="8">IF(F9&lt;&gt;"",F32-F34,"")</f>
        <v>749.6451572062067</v>
      </c>
      <c r="G35" s="3">
        <f t="shared" si="8"/>
        <v>919.64939852467842</v>
      </c>
      <c r="H35" s="3">
        <f t="shared" si="8"/>
        <v>1110.054148801366</v>
      </c>
      <c r="I35" s="3">
        <f t="shared" si="8"/>
        <v>1323.3074691112563</v>
      </c>
      <c r="J35" s="3">
        <f t="shared" si="8"/>
        <v>1562.1511878583337</v>
      </c>
      <c r="K35" s="3">
        <f t="shared" si="8"/>
        <v>1829.6561528550606</v>
      </c>
      <c r="L35" s="3">
        <f t="shared" si="8"/>
        <v>2129.2617136513932</v>
      </c>
      <c r="M35" s="3">
        <f t="shared" si="8"/>
        <v>2464.8199417432875</v>
      </c>
      <c r="N35" s="3">
        <f t="shared" si="8"/>
        <v>2840.6451572062074</v>
      </c>
      <c r="O35" s="3">
        <f t="shared" si="8"/>
        <v>2840.6451572062074</v>
      </c>
      <c r="P35" s="3">
        <f t="shared" si="8"/>
        <v>2840.6451572062074</v>
      </c>
      <c r="Q35" s="3">
        <f t="shared" si="8"/>
        <v>2840.6451572062074</v>
      </c>
      <c r="R35" s="3">
        <f t="shared" si="8"/>
        <v>2840.6451572062074</v>
      </c>
      <c r="S35" s="3">
        <f t="shared" si="8"/>
        <v>2840.6451572062074</v>
      </c>
      <c r="T35" s="3">
        <f t="shared" si="8"/>
        <v>2840.6451572062074</v>
      </c>
      <c r="U35" s="3">
        <f t="shared" si="8"/>
        <v>2840.6451572062074</v>
      </c>
      <c r="V35" s="3">
        <f t="shared" si="8"/>
        <v>2840.6451572062074</v>
      </c>
      <c r="W35" s="3">
        <f t="shared" si="8"/>
        <v>2840.6451572062074</v>
      </c>
      <c r="X35" s="3">
        <f t="shared" si="8"/>
        <v>2840.6451572062074</v>
      </c>
      <c r="Y35" s="3">
        <f t="shared" si="8"/>
        <v>2840.6451572062074</v>
      </c>
    </row>
    <row r="37" spans="1:25" x14ac:dyDescent="0.25">
      <c r="A37" s="34" t="s">
        <v>160</v>
      </c>
      <c r="E37" s="3">
        <f>-SUM(E11:E13)</f>
        <v>-35500</v>
      </c>
      <c r="F37" s="3">
        <f>+F19+F31</f>
        <v>2632.9369089859019</v>
      </c>
      <c r="G37" s="3">
        <f t="shared" ref="G37:Y37" si="9">+G19+G31</f>
        <v>2602.9361605179356</v>
      </c>
      <c r="H37" s="3">
        <f t="shared" si="9"/>
        <v>2569.3353222338146</v>
      </c>
      <c r="I37" s="3">
        <f t="shared" si="9"/>
        <v>2531.7023833555986</v>
      </c>
      <c r="J37" s="3">
        <f t="shared" si="9"/>
        <v>2489.5534918119965</v>
      </c>
      <c r="K37" s="3">
        <f t="shared" si="9"/>
        <v>2442.3467332831624</v>
      </c>
      <c r="L37" s="3">
        <f t="shared" si="9"/>
        <v>2389.4751637308691</v>
      </c>
      <c r="M37" s="3">
        <f t="shared" si="9"/>
        <v>2330.2590058322994</v>
      </c>
      <c r="N37" s="3">
        <f t="shared" si="9"/>
        <v>6390.6451572062069</v>
      </c>
      <c r="O37" s="3">
        <f t="shared" si="9"/>
        <v>6390.6451572062069</v>
      </c>
      <c r="P37" s="3">
        <f t="shared" si="9"/>
        <v>6390.6451572062069</v>
      </c>
      <c r="Q37" s="3">
        <f t="shared" si="9"/>
        <v>6390.6451572062069</v>
      </c>
      <c r="R37" s="3">
        <f t="shared" si="9"/>
        <v>6390.6451572062069</v>
      </c>
      <c r="S37" s="3">
        <f t="shared" si="9"/>
        <v>6390.6451572062069</v>
      </c>
      <c r="T37" s="3">
        <f t="shared" si="9"/>
        <v>6390.6451572062069</v>
      </c>
      <c r="U37" s="3">
        <f t="shared" si="9"/>
        <v>6390.6451572062069</v>
      </c>
      <c r="V37" s="3">
        <f t="shared" si="9"/>
        <v>6390.6451572062069</v>
      </c>
      <c r="W37" s="3">
        <f t="shared" si="9"/>
        <v>6390.6451572062069</v>
      </c>
      <c r="X37" s="3">
        <f t="shared" si="9"/>
        <v>6390.6451572062069</v>
      </c>
      <c r="Y37" s="3">
        <f t="shared" si="9"/>
        <v>6390.6451572062069</v>
      </c>
    </row>
    <row r="38" spans="1:25" x14ac:dyDescent="0.25">
      <c r="A38" s="34" t="s">
        <v>161</v>
      </c>
      <c r="E38" s="3">
        <f>+E37</f>
        <v>-35500</v>
      </c>
      <c r="F38" s="3">
        <f>+E38+F37</f>
        <v>-32867.063091014097</v>
      </c>
      <c r="G38" s="3">
        <f t="shared" ref="G38:Y38" si="10">+F38+G37</f>
        <v>-30264.126930496161</v>
      </c>
      <c r="H38" s="3">
        <f t="shared" si="10"/>
        <v>-27694.791608262345</v>
      </c>
      <c r="I38" s="3">
        <f t="shared" si="10"/>
        <v>-25163.089224906747</v>
      </c>
      <c r="J38" s="3">
        <f t="shared" si="10"/>
        <v>-22673.535733094752</v>
      </c>
      <c r="K38" s="3">
        <f t="shared" si="10"/>
        <v>-20231.188999811588</v>
      </c>
      <c r="L38" s="3">
        <f t="shared" si="10"/>
        <v>-17841.713836080718</v>
      </c>
      <c r="M38" s="3">
        <f t="shared" si="10"/>
        <v>-15511.454830248418</v>
      </c>
      <c r="N38" s="3">
        <f t="shared" si="10"/>
        <v>-9120.8096730422112</v>
      </c>
      <c r="O38" s="3">
        <f t="shared" si="10"/>
        <v>-2730.1645158360043</v>
      </c>
      <c r="P38" s="3">
        <f t="shared" si="10"/>
        <v>3660.4806413702026</v>
      </c>
      <c r="Q38" s="3">
        <f t="shared" si="10"/>
        <v>10051.12579857641</v>
      </c>
      <c r="R38" s="3">
        <f t="shared" si="10"/>
        <v>16441.770955782617</v>
      </c>
      <c r="S38" s="3">
        <f t="shared" si="10"/>
        <v>22832.416112988823</v>
      </c>
      <c r="T38" s="3">
        <f t="shared" si="10"/>
        <v>29223.06127019503</v>
      </c>
      <c r="U38" s="3">
        <f t="shared" si="10"/>
        <v>35613.706427401237</v>
      </c>
      <c r="V38" s="3">
        <f t="shared" si="10"/>
        <v>42004.351584607444</v>
      </c>
      <c r="W38" s="3">
        <f t="shared" si="10"/>
        <v>48394.996741813651</v>
      </c>
      <c r="X38" s="3">
        <f t="shared" si="10"/>
        <v>54785.641899019858</v>
      </c>
      <c r="Y38" s="3">
        <f t="shared" si="10"/>
        <v>61176.287056226065</v>
      </c>
    </row>
    <row r="39" spans="1:25" x14ac:dyDescent="0.25">
      <c r="A39" s="18"/>
    </row>
    <row r="40" spans="1:25" x14ac:dyDescent="0.25">
      <c r="A40" s="34" t="s">
        <v>62</v>
      </c>
      <c r="E40" s="30">
        <f>+KamSptv</f>
        <v>7.7507042253521133E-2</v>
      </c>
    </row>
    <row r="41" spans="1:25" x14ac:dyDescent="0.25">
      <c r="A41" s="34" t="s">
        <v>162</v>
      </c>
      <c r="E41" s="3">
        <f>IF(E9&lt;&gt;"",E37*(1+$E$40)^-E9,"")</f>
        <v>-35500</v>
      </c>
      <c r="F41" s="3">
        <f>IF(F9&lt;&gt;"",F37*(1+$E$40)^-F9,"")</f>
        <v>2443.544966053606</v>
      </c>
      <c r="G41" s="3">
        <f t="shared" ref="G41:Y41" si="11">IF(G9&lt;&gt;"",G37*(1+$E$40)^-G9,"")</f>
        <v>2241.9363691229969</v>
      </c>
      <c r="H41" s="3">
        <f t="shared" si="11"/>
        <v>2053.8108113714993</v>
      </c>
      <c r="I41" s="3">
        <f t="shared" si="11"/>
        <v>1878.1582462603144</v>
      </c>
      <c r="J41" s="3">
        <f t="shared" si="11"/>
        <v>1714.0396969072083</v>
      </c>
      <c r="K41" s="3">
        <f t="shared" si="11"/>
        <v>1560.5820814169044</v>
      </c>
      <c r="L41" s="3">
        <f t="shared" si="11"/>
        <v>1416.9734079701079</v>
      </c>
      <c r="M41" s="3">
        <f t="shared" si="11"/>
        <v>1282.4583129765522</v>
      </c>
      <c r="N41" s="3">
        <f t="shared" si="11"/>
        <v>3264.1014512118436</v>
      </c>
      <c r="O41" s="3">
        <f t="shared" si="11"/>
        <v>3029.3086942478199</v>
      </c>
      <c r="P41" s="3">
        <f t="shared" si="11"/>
        <v>2811.4050075368964</v>
      </c>
      <c r="Q41" s="3">
        <f t="shared" si="11"/>
        <v>2609.175529523282</v>
      </c>
      <c r="R41" s="3">
        <f t="shared" si="11"/>
        <v>2421.4927858535352</v>
      </c>
      <c r="S41" s="3">
        <f t="shared" si="11"/>
        <v>2247.3104034560874</v>
      </c>
      <c r="T41" s="3">
        <f t="shared" si="11"/>
        <v>2085.6572767784555</v>
      </c>
      <c r="U41" s="3">
        <f t="shared" si="11"/>
        <v>1935.632153657639</v>
      </c>
      <c r="V41" s="3">
        <f t="shared" si="11"/>
        <v>1796.3986106386985</v>
      </c>
      <c r="W41" s="3">
        <f t="shared" si="11"/>
        <v>1667.1803897278226</v>
      </c>
      <c r="X41" s="3">
        <f t="shared" si="11"/>
        <v>1547.2570705812243</v>
      </c>
      <c r="Y41" s="3">
        <f t="shared" si="11"/>
        <v>1435.9600540013714</v>
      </c>
    </row>
    <row r="42" spans="1:25" x14ac:dyDescent="0.25">
      <c r="A42" s="34" t="s">
        <v>163</v>
      </c>
      <c r="E42" s="3">
        <f>+E41</f>
        <v>-35500</v>
      </c>
      <c r="F42" s="3">
        <f>+E42+F41</f>
        <v>-33056.455033946397</v>
      </c>
      <c r="G42" s="3">
        <f t="shared" ref="G42:Y42" si="12">+F42+G41</f>
        <v>-30814.518664823401</v>
      </c>
      <c r="H42" s="3">
        <f t="shared" si="12"/>
        <v>-28760.707853451902</v>
      </c>
      <c r="I42" s="3">
        <f t="shared" si="12"/>
        <v>-26882.549607191588</v>
      </c>
      <c r="J42" s="3">
        <f t="shared" si="12"/>
        <v>-25168.509910284378</v>
      </c>
      <c r="K42" s="3">
        <f t="shared" si="12"/>
        <v>-23607.927828867472</v>
      </c>
      <c r="L42" s="3">
        <f t="shared" si="12"/>
        <v>-22190.954420897364</v>
      </c>
      <c r="M42" s="3">
        <f t="shared" si="12"/>
        <v>-20908.496107920811</v>
      </c>
      <c r="N42" s="3">
        <f t="shared" si="12"/>
        <v>-17644.394656708966</v>
      </c>
      <c r="O42" s="3">
        <f t="shared" si="12"/>
        <v>-14615.085962461146</v>
      </c>
      <c r="P42" s="3">
        <f t="shared" si="12"/>
        <v>-11803.68095492425</v>
      </c>
      <c r="Q42" s="3">
        <f t="shared" si="12"/>
        <v>-9194.5054254009683</v>
      </c>
      <c r="R42" s="3">
        <f t="shared" si="12"/>
        <v>-6773.0126395474326</v>
      </c>
      <c r="S42" s="3">
        <f t="shared" si="12"/>
        <v>-4525.7022360913452</v>
      </c>
      <c r="T42" s="3">
        <f t="shared" si="12"/>
        <v>-2440.0449593128897</v>
      </c>
      <c r="U42" s="3">
        <f t="shared" si="12"/>
        <v>-504.41280565525062</v>
      </c>
      <c r="V42" s="3">
        <f t="shared" si="12"/>
        <v>1291.9858049834479</v>
      </c>
      <c r="W42" s="3">
        <f t="shared" si="12"/>
        <v>2959.1661947112707</v>
      </c>
      <c r="X42" s="3">
        <f t="shared" si="12"/>
        <v>4506.4232652924948</v>
      </c>
      <c r="Y42" s="3">
        <f t="shared" si="12"/>
        <v>5942.3833192938664</v>
      </c>
    </row>
    <row r="43" spans="1:25" x14ac:dyDescent="0.25">
      <c r="A43" s="34"/>
    </row>
    <row r="44" spans="1:25" x14ac:dyDescent="0.25">
      <c r="A44" s="35" t="s">
        <v>164</v>
      </c>
      <c r="B44" s="36"/>
      <c r="C44" s="36"/>
      <c r="D44" s="36"/>
      <c r="E44" s="37">
        <f>+NPV(E40,E37:Y37)</f>
        <v>5514.9368739770243</v>
      </c>
      <c r="F44" s="36"/>
    </row>
    <row r="45" spans="1:25" x14ac:dyDescent="0.25">
      <c r="A45" s="35" t="s">
        <v>165</v>
      </c>
      <c r="B45" s="36"/>
      <c r="C45" s="36"/>
      <c r="D45" s="36"/>
      <c r="E45" s="38">
        <f>+IRR(E37:Y37,10)</f>
        <v>9.4298664746929495E-2</v>
      </c>
      <c r="F45" s="36"/>
    </row>
    <row r="46" spans="1:25" x14ac:dyDescent="0.25">
      <c r="A46" s="35" t="s">
        <v>166</v>
      </c>
      <c r="B46" s="36"/>
      <c r="C46" s="36"/>
      <c r="D46" s="36"/>
      <c r="E46" s="39">
        <f>+NPV(E40,F19:Y19)/-NPV(E40,E31:Y31)</f>
        <v>1.1698691508877113</v>
      </c>
      <c r="F46" s="36"/>
    </row>
    <row r="47" spans="1:25" x14ac:dyDescent="0.25">
      <c r="A47" s="35" t="s">
        <v>167</v>
      </c>
      <c r="B47" s="36"/>
      <c r="C47" s="36"/>
      <c r="D47" s="36"/>
      <c r="E47" s="36" cm="1">
        <f t="array" ref="E47">+LOOKUP(INDEX(E38:Y38,MATCH(TRUE,E38:Y38&gt;0,0)),E38:Y38,E9:Y9)</f>
        <v>11</v>
      </c>
      <c r="F47" s="36" t="s">
        <v>169</v>
      </c>
    </row>
    <row r="48" spans="1:25" x14ac:dyDescent="0.25">
      <c r="A48" s="35" t="s">
        <v>168</v>
      </c>
      <c r="B48" s="36"/>
      <c r="C48" s="36"/>
      <c r="D48" s="36"/>
      <c r="E48" s="49" cm="1">
        <f t="array" ref="E48">+LOOKUP(INDEX(E42:Y42,MATCH(TRUE,E42:Y42&gt;0,0)),E42:Y42,E9:Y9)</f>
        <v>17</v>
      </c>
      <c r="F48" s="36" t="s">
        <v>169</v>
      </c>
    </row>
    <row r="50" spans="1:26" x14ac:dyDescent="0.25">
      <c r="A50" s="68" t="s">
        <v>170</v>
      </c>
      <c r="B50" s="68"/>
      <c r="C50" s="68"/>
      <c r="D50" s="68"/>
      <c r="E50" s="3">
        <f>+E31</f>
        <v>-35500</v>
      </c>
      <c r="F50" s="3">
        <f>+F31</f>
        <v>-4891.4985700802245</v>
      </c>
      <c r="G50" s="3">
        <f t="shared" ref="G50:Y50" si="13">+G31</f>
        <v>-4921.4993185481908</v>
      </c>
      <c r="H50" s="3">
        <f t="shared" si="13"/>
        <v>-4955.1001568323118</v>
      </c>
      <c r="I50" s="3">
        <f t="shared" si="13"/>
        <v>-4992.7330957105278</v>
      </c>
      <c r="J50" s="3">
        <f t="shared" si="13"/>
        <v>-5034.8819872541299</v>
      </c>
      <c r="K50" s="3">
        <f t="shared" si="13"/>
        <v>-5082.088745782964</v>
      </c>
      <c r="L50" s="3">
        <f t="shared" si="13"/>
        <v>-5134.9603153352573</v>
      </c>
      <c r="M50" s="3">
        <f t="shared" si="13"/>
        <v>-5194.176473233827</v>
      </c>
      <c r="N50" s="3">
        <f t="shared" si="13"/>
        <v>-1133.790321859919</v>
      </c>
      <c r="O50" s="3">
        <f t="shared" si="13"/>
        <v>-1133.790321859919</v>
      </c>
      <c r="P50" s="3">
        <f t="shared" si="13"/>
        <v>-1133.790321859919</v>
      </c>
      <c r="Q50" s="3">
        <f t="shared" si="13"/>
        <v>-1133.790321859919</v>
      </c>
      <c r="R50" s="3">
        <f t="shared" si="13"/>
        <v>-1133.790321859919</v>
      </c>
      <c r="S50" s="3">
        <f t="shared" si="13"/>
        <v>-1133.790321859919</v>
      </c>
      <c r="T50" s="3">
        <f t="shared" si="13"/>
        <v>-1133.790321859919</v>
      </c>
      <c r="U50" s="3">
        <f t="shared" si="13"/>
        <v>-1133.790321859919</v>
      </c>
      <c r="V50" s="3">
        <f t="shared" si="13"/>
        <v>-1133.790321859919</v>
      </c>
      <c r="W50" s="3">
        <f t="shared" si="13"/>
        <v>-1133.790321859919</v>
      </c>
      <c r="X50" s="3">
        <f t="shared" si="13"/>
        <v>-1133.790321859919</v>
      </c>
      <c r="Y50" s="3">
        <f t="shared" si="13"/>
        <v>-1133.790321859919</v>
      </c>
      <c r="Z50" s="3"/>
    </row>
    <row r="51" spans="1:26" x14ac:dyDescent="0.25">
      <c r="A51" s="68" t="s">
        <v>171</v>
      </c>
      <c r="B51" s="68"/>
      <c r="C51" s="68"/>
      <c r="D51" s="68"/>
      <c r="E51" s="3">
        <f t="shared" ref="E51:Y51" si="14">IF(E9&lt;&gt;"",E50*(1+KamSptv)^-E9,"")</f>
        <v>-35500</v>
      </c>
      <c r="F51" s="3">
        <f t="shared" si="14"/>
        <v>-4539.6441770348338</v>
      </c>
      <c r="G51" s="3">
        <f t="shared" si="14"/>
        <v>-4238.9392718228391</v>
      </c>
      <c r="H51" s="3">
        <f t="shared" si="14"/>
        <v>-3960.8836516842548</v>
      </c>
      <c r="I51" s="3">
        <f t="shared" si="14"/>
        <v>-3703.8882993255916</v>
      </c>
      <c r="J51" s="3">
        <f t="shared" si="14"/>
        <v>-3466.480083187681</v>
      </c>
      <c r="K51" s="3">
        <f t="shared" si="14"/>
        <v>-3247.2934840738239</v>
      </c>
      <c r="L51" s="3">
        <f t="shared" si="14"/>
        <v>-3045.0629193613918</v>
      </c>
      <c r="M51" s="3">
        <f t="shared" si="14"/>
        <v>-2858.6156219088307</v>
      </c>
      <c r="N51" s="3">
        <f t="shared" si="14"/>
        <v>-579.09750016081057</v>
      </c>
      <c r="O51" s="3">
        <f t="shared" si="14"/>
        <v>-537.44196320951551</v>
      </c>
      <c r="P51" s="3">
        <f t="shared" si="14"/>
        <v>-498.78278483034126</v>
      </c>
      <c r="Q51" s="3">
        <f t="shared" si="14"/>
        <v>-462.90443149881997</v>
      </c>
      <c r="R51" s="3">
        <f t="shared" si="14"/>
        <v>-429.60687340909794</v>
      </c>
      <c r="S51" s="3">
        <f t="shared" si="14"/>
        <v>-398.70446926324405</v>
      </c>
      <c r="T51" s="3">
        <f t="shared" si="14"/>
        <v>-370.02493127969262</v>
      </c>
      <c r="U51" s="3">
        <f t="shared" si="14"/>
        <v>-343.40836465051279</v>
      </c>
      <c r="V51" s="3">
        <f t="shared" si="14"/>
        <v>-318.7063760922631</v>
      </c>
      <c r="W51" s="3">
        <f t="shared" si="14"/>
        <v>-295.7812465204068</v>
      </c>
      <c r="X51" s="3">
        <f t="shared" si="14"/>
        <v>-274.50516323476052</v>
      </c>
      <c r="Y51" s="3">
        <f t="shared" si="14"/>
        <v>-254.75950733524172</v>
      </c>
      <c r="Z51" s="3"/>
    </row>
    <row r="52" spans="1:26" x14ac:dyDescent="0.25">
      <c r="A52" s="68" t="s">
        <v>172</v>
      </c>
      <c r="B52" s="68"/>
      <c r="C52" s="68"/>
      <c r="D52" s="68"/>
      <c r="E52" s="3">
        <f>+E50</f>
        <v>-35500</v>
      </c>
      <c r="F52" s="3">
        <f t="shared" ref="F52:Y52" si="15">IF(F9&lt;&gt;"",E52+F51,"")</f>
        <v>-40039.644177034832</v>
      </c>
      <c r="G52" s="3">
        <f t="shared" si="15"/>
        <v>-44278.583448857673</v>
      </c>
      <c r="H52" s="3">
        <f t="shared" si="15"/>
        <v>-48239.46710054193</v>
      </c>
      <c r="I52" s="3">
        <f t="shared" si="15"/>
        <v>-51943.35539986752</v>
      </c>
      <c r="J52" s="3">
        <f t="shared" si="15"/>
        <v>-55409.835483055198</v>
      </c>
      <c r="K52" s="3">
        <f t="shared" si="15"/>
        <v>-58657.128967129021</v>
      </c>
      <c r="L52" s="3">
        <f t="shared" si="15"/>
        <v>-61702.191886490415</v>
      </c>
      <c r="M52" s="3">
        <f t="shared" si="15"/>
        <v>-64560.807508399244</v>
      </c>
      <c r="N52" s="3">
        <f t="shared" si="15"/>
        <v>-65139.905008560054</v>
      </c>
      <c r="O52" s="3">
        <f t="shared" si="15"/>
        <v>-65677.34697176957</v>
      </c>
      <c r="P52" s="3">
        <f t="shared" si="15"/>
        <v>-66176.129756599912</v>
      </c>
      <c r="Q52" s="3">
        <f t="shared" si="15"/>
        <v>-66639.034188098725</v>
      </c>
      <c r="R52" s="3">
        <f t="shared" si="15"/>
        <v>-67068.64106150782</v>
      </c>
      <c r="S52" s="3">
        <f t="shared" si="15"/>
        <v>-67467.345530771068</v>
      </c>
      <c r="T52" s="3">
        <f t="shared" si="15"/>
        <v>-67837.370462050763</v>
      </c>
      <c r="U52" s="3">
        <f t="shared" si="15"/>
        <v>-68180.77882670128</v>
      </c>
      <c r="V52" s="3">
        <f t="shared" si="15"/>
        <v>-68499.485202793541</v>
      </c>
      <c r="W52" s="3">
        <f t="shared" si="15"/>
        <v>-68795.266449313945</v>
      </c>
      <c r="X52" s="3">
        <f t="shared" si="15"/>
        <v>-69069.771612548706</v>
      </c>
      <c r="Y52" s="3">
        <f t="shared" si="15"/>
        <v>-69324.531119883948</v>
      </c>
    </row>
    <row r="53" spans="1:26" x14ac:dyDescent="0.25">
      <c r="A53" s="68" t="s">
        <v>173</v>
      </c>
      <c r="B53" s="68"/>
      <c r="C53" s="68"/>
      <c r="D53" s="68"/>
      <c r="F53" s="3">
        <f t="shared" ref="F53:Y53" si="16">IF(F9&lt;&gt;"",F19,"")</f>
        <v>7524.4354790661264</v>
      </c>
      <c r="G53" s="3">
        <f t="shared" si="16"/>
        <v>7524.4354790661264</v>
      </c>
      <c r="H53" s="3">
        <f t="shared" si="16"/>
        <v>7524.4354790661264</v>
      </c>
      <c r="I53" s="3">
        <f t="shared" si="16"/>
        <v>7524.4354790661264</v>
      </c>
      <c r="J53" s="3">
        <f t="shared" si="16"/>
        <v>7524.4354790661264</v>
      </c>
      <c r="K53" s="3">
        <f t="shared" si="16"/>
        <v>7524.4354790661264</v>
      </c>
      <c r="L53" s="3">
        <f t="shared" si="16"/>
        <v>7524.4354790661264</v>
      </c>
      <c r="M53" s="3">
        <f t="shared" si="16"/>
        <v>7524.4354790661264</v>
      </c>
      <c r="N53" s="3">
        <f t="shared" si="16"/>
        <v>7524.4354790661264</v>
      </c>
      <c r="O53" s="3">
        <f t="shared" si="16"/>
        <v>7524.4354790661264</v>
      </c>
      <c r="P53" s="3">
        <f t="shared" si="16"/>
        <v>7524.4354790661264</v>
      </c>
      <c r="Q53" s="3">
        <f t="shared" si="16"/>
        <v>7524.4354790661264</v>
      </c>
      <c r="R53" s="3">
        <f t="shared" si="16"/>
        <v>7524.4354790661264</v>
      </c>
      <c r="S53" s="3">
        <f t="shared" si="16"/>
        <v>7524.4354790661264</v>
      </c>
      <c r="T53" s="3">
        <f t="shared" si="16"/>
        <v>7524.4354790661264</v>
      </c>
      <c r="U53" s="3">
        <f t="shared" si="16"/>
        <v>7524.4354790661264</v>
      </c>
      <c r="V53" s="3">
        <f t="shared" si="16"/>
        <v>7524.4354790661264</v>
      </c>
      <c r="W53" s="3">
        <f t="shared" si="16"/>
        <v>7524.4354790661264</v>
      </c>
      <c r="X53" s="3">
        <f t="shared" si="16"/>
        <v>7524.4354790661264</v>
      </c>
      <c r="Y53" s="3">
        <f t="shared" si="16"/>
        <v>7524.4354790661264</v>
      </c>
    </row>
    <row r="54" spans="1:26" x14ac:dyDescent="0.25">
      <c r="A54" s="68" t="s">
        <v>174</v>
      </c>
      <c r="B54" s="68"/>
      <c r="C54" s="68"/>
      <c r="D54" s="68"/>
      <c r="F54" s="3">
        <f t="shared" ref="F54:Y54" si="17">IF(F9&lt;&gt;"",F53*(1+KamSptv)^-F9,"")</f>
        <v>6983.1891430884407</v>
      </c>
      <c r="G54" s="3">
        <f t="shared" si="17"/>
        <v>6480.8756409458365</v>
      </c>
      <c r="H54" s="3">
        <f t="shared" si="17"/>
        <v>6014.6944630557546</v>
      </c>
      <c r="I54" s="3">
        <f t="shared" si="17"/>
        <v>5582.0465455859057</v>
      </c>
      <c r="J54" s="3">
        <f t="shared" si="17"/>
        <v>5180.519780094889</v>
      </c>
      <c r="K54" s="3">
        <f t="shared" si="17"/>
        <v>4807.8755654907281</v>
      </c>
      <c r="L54" s="3">
        <f t="shared" si="17"/>
        <v>4462.0363273314997</v>
      </c>
      <c r="M54" s="3">
        <f t="shared" si="17"/>
        <v>4141.0739348853831</v>
      </c>
      <c r="N54" s="3">
        <f t="shared" si="17"/>
        <v>3843.1989513726544</v>
      </c>
      <c r="O54" s="3">
        <f t="shared" si="17"/>
        <v>3566.7506574573354</v>
      </c>
      <c r="P54" s="3">
        <f t="shared" si="17"/>
        <v>3310.1877923672378</v>
      </c>
      <c r="Q54" s="3">
        <f t="shared" si="17"/>
        <v>3072.079961022102</v>
      </c>
      <c r="R54" s="3">
        <f t="shared" si="17"/>
        <v>2851.0996592626334</v>
      </c>
      <c r="S54" s="3">
        <f t="shared" si="17"/>
        <v>2646.0148727193314</v>
      </c>
      <c r="T54" s="3">
        <f t="shared" si="17"/>
        <v>2455.6822080581483</v>
      </c>
      <c r="U54" s="3">
        <f t="shared" si="17"/>
        <v>2279.0405183081521</v>
      </c>
      <c r="V54" s="3">
        <f t="shared" si="17"/>
        <v>2115.1049867309616</v>
      </c>
      <c r="W54" s="3">
        <f t="shared" si="17"/>
        <v>1962.9616362482293</v>
      </c>
      <c r="X54" s="3">
        <f t="shared" si="17"/>
        <v>1821.7622338159849</v>
      </c>
      <c r="Y54" s="3">
        <f t="shared" si="17"/>
        <v>1690.7195613366132</v>
      </c>
    </row>
    <row r="55" spans="1:26" x14ac:dyDescent="0.25">
      <c r="A55" s="68" t="s">
        <v>175</v>
      </c>
      <c r="B55" s="68"/>
      <c r="C55" s="68"/>
      <c r="D55" s="68"/>
      <c r="F55" s="3">
        <f t="shared" ref="F55:Y55" si="18">IF(F9&lt;&gt;"",E55+F54,"")</f>
        <v>6983.1891430884407</v>
      </c>
      <c r="G55" s="3">
        <f t="shared" si="18"/>
        <v>13464.064784034277</v>
      </c>
      <c r="H55" s="3">
        <f t="shared" si="18"/>
        <v>19478.759247090031</v>
      </c>
      <c r="I55" s="3">
        <f t="shared" si="18"/>
        <v>25060.805792675936</v>
      </c>
      <c r="J55" s="3">
        <f t="shared" si="18"/>
        <v>30241.325572770824</v>
      </c>
      <c r="K55" s="3">
        <f t="shared" si="18"/>
        <v>35049.201138261553</v>
      </c>
      <c r="L55" s="3">
        <f t="shared" si="18"/>
        <v>39511.237465593054</v>
      </c>
      <c r="M55" s="3">
        <f t="shared" si="18"/>
        <v>43652.311400478437</v>
      </c>
      <c r="N55" s="3">
        <f t="shared" si="18"/>
        <v>47495.510351851088</v>
      </c>
      <c r="O55" s="3">
        <f t="shared" si="18"/>
        <v>51062.261009308422</v>
      </c>
      <c r="P55" s="3">
        <f t="shared" si="18"/>
        <v>54372.448801675659</v>
      </c>
      <c r="Q55" s="3">
        <f t="shared" si="18"/>
        <v>57444.528762697759</v>
      </c>
      <c r="R55" s="3">
        <f t="shared" si="18"/>
        <v>60295.628421960391</v>
      </c>
      <c r="S55" s="3">
        <f t="shared" si="18"/>
        <v>62941.643294679721</v>
      </c>
      <c r="T55" s="3">
        <f t="shared" si="18"/>
        <v>65397.325502737869</v>
      </c>
      <c r="U55" s="3">
        <f t="shared" si="18"/>
        <v>67676.366021046022</v>
      </c>
      <c r="V55" s="3">
        <f t="shared" si="18"/>
        <v>69791.471007776985</v>
      </c>
      <c r="W55" s="3">
        <f t="shared" si="18"/>
        <v>71754.432644025219</v>
      </c>
      <c r="X55" s="3">
        <f t="shared" si="18"/>
        <v>73576.194877841204</v>
      </c>
      <c r="Y55" s="3">
        <f t="shared" si="18"/>
        <v>75266.914439177825</v>
      </c>
    </row>
    <row r="56" spans="1:26" x14ac:dyDescent="0.25">
      <c r="A56" s="68" t="s">
        <v>176</v>
      </c>
      <c r="B56" s="68"/>
      <c r="C56" s="68"/>
      <c r="D56" s="68"/>
      <c r="F56" s="3">
        <f t="shared" ref="F56:Y56" si="19">IF(F9&lt;&gt;"",F55+F52,"")</f>
        <v>-33056.455033946389</v>
      </c>
      <c r="G56" s="3">
        <f t="shared" si="19"/>
        <v>-30814.518664823394</v>
      </c>
      <c r="H56" s="3">
        <f t="shared" si="19"/>
        <v>-28760.707853451899</v>
      </c>
      <c r="I56" s="3">
        <f t="shared" si="19"/>
        <v>-26882.549607191584</v>
      </c>
      <c r="J56" s="3">
        <f t="shared" si="19"/>
        <v>-25168.509910284374</v>
      </c>
      <c r="K56" s="3">
        <f t="shared" si="19"/>
        <v>-23607.927828867469</v>
      </c>
      <c r="L56" s="3">
        <f t="shared" si="19"/>
        <v>-22190.95442089736</v>
      </c>
      <c r="M56" s="3">
        <f t="shared" si="19"/>
        <v>-20908.496107920808</v>
      </c>
      <c r="N56" s="3">
        <f t="shared" si="19"/>
        <v>-17644.394656708966</v>
      </c>
      <c r="O56" s="3">
        <f t="shared" si="19"/>
        <v>-14615.085962461148</v>
      </c>
      <c r="P56" s="3">
        <f t="shared" si="19"/>
        <v>-11803.680954924253</v>
      </c>
      <c r="Q56" s="3">
        <f t="shared" si="19"/>
        <v>-9194.5054254009665</v>
      </c>
      <c r="R56" s="3">
        <f t="shared" si="19"/>
        <v>-6773.012639547429</v>
      </c>
      <c r="S56" s="3">
        <f t="shared" si="19"/>
        <v>-4525.702236091347</v>
      </c>
      <c r="T56" s="3">
        <f t="shared" si="19"/>
        <v>-2440.0449593128942</v>
      </c>
      <c r="U56" s="3">
        <f t="shared" si="19"/>
        <v>-504.41280565525813</v>
      </c>
      <c r="V56" s="3">
        <f t="shared" si="19"/>
        <v>1291.9858049834438</v>
      </c>
      <c r="W56" s="3">
        <f t="shared" si="19"/>
        <v>2959.1661947112734</v>
      </c>
      <c r="X56" s="3">
        <f t="shared" si="19"/>
        <v>4506.4232652924984</v>
      </c>
      <c r="Y56" s="3">
        <f t="shared" si="19"/>
        <v>5942.3833192938764</v>
      </c>
    </row>
    <row r="57" spans="1:26" x14ac:dyDescent="0.25">
      <c r="A57" s="40" t="s">
        <v>177</v>
      </c>
      <c r="B57" s="40"/>
      <c r="C57" s="40"/>
      <c r="D57" s="40"/>
      <c r="E57" s="36"/>
      <c r="F57" s="41">
        <f>-F50/70</f>
        <v>69.878551001146064</v>
      </c>
    </row>
    <row r="59" spans="1:26" x14ac:dyDescent="0.25">
      <c r="A59" s="68" t="s">
        <v>95</v>
      </c>
      <c r="B59" s="68"/>
      <c r="C59" s="68"/>
      <c r="D59" s="68"/>
      <c r="E59" s="3">
        <f t="shared" ref="E59:Y59" si="20">IF(E9="",D59,-E52)</f>
        <v>35500</v>
      </c>
      <c r="F59" s="3">
        <f t="shared" si="20"/>
        <v>40039.644177034832</v>
      </c>
      <c r="G59" s="3">
        <f t="shared" si="20"/>
        <v>44278.583448857673</v>
      </c>
      <c r="H59" s="3">
        <f t="shared" si="20"/>
        <v>48239.46710054193</v>
      </c>
      <c r="I59" s="3">
        <f t="shared" si="20"/>
        <v>51943.35539986752</v>
      </c>
      <c r="J59" s="3">
        <f t="shared" si="20"/>
        <v>55409.835483055198</v>
      </c>
      <c r="K59" s="3">
        <f t="shared" si="20"/>
        <v>58657.128967129021</v>
      </c>
      <c r="L59" s="3">
        <f t="shared" si="20"/>
        <v>61702.191886490415</v>
      </c>
      <c r="M59" s="3">
        <f t="shared" si="20"/>
        <v>64560.807508399244</v>
      </c>
      <c r="N59" s="3">
        <f t="shared" si="20"/>
        <v>65139.905008560054</v>
      </c>
      <c r="O59" s="3">
        <f t="shared" si="20"/>
        <v>65677.34697176957</v>
      </c>
      <c r="P59" s="3">
        <f t="shared" si="20"/>
        <v>66176.129756599912</v>
      </c>
      <c r="Q59" s="3">
        <f t="shared" si="20"/>
        <v>66639.034188098725</v>
      </c>
      <c r="R59" s="3">
        <f t="shared" si="20"/>
        <v>67068.64106150782</v>
      </c>
      <c r="S59" s="3">
        <f t="shared" si="20"/>
        <v>67467.345530771068</v>
      </c>
      <c r="T59" s="3">
        <f t="shared" si="20"/>
        <v>67837.370462050763</v>
      </c>
      <c r="U59" s="3">
        <f t="shared" si="20"/>
        <v>68180.77882670128</v>
      </c>
      <c r="V59" s="3">
        <f t="shared" si="20"/>
        <v>68499.485202793541</v>
      </c>
      <c r="W59" s="3">
        <f t="shared" si="20"/>
        <v>68795.266449313945</v>
      </c>
      <c r="X59" s="3">
        <f t="shared" si="20"/>
        <v>69069.771612548706</v>
      </c>
      <c r="Y59" s="3">
        <f t="shared" si="20"/>
        <v>69324.531119883948</v>
      </c>
    </row>
    <row r="60" spans="1:26" x14ac:dyDescent="0.25">
      <c r="A60" s="68" t="s">
        <v>96</v>
      </c>
      <c r="B60" s="68"/>
      <c r="C60" s="68"/>
      <c r="D60" s="68"/>
      <c r="F60" s="3">
        <f t="shared" ref="F60:Y60" si="21">IF(F9="",E60,F55)</f>
        <v>6983.1891430884407</v>
      </c>
      <c r="G60" s="3">
        <f t="shared" si="21"/>
        <v>13464.064784034277</v>
      </c>
      <c r="H60" s="3">
        <f t="shared" si="21"/>
        <v>19478.759247090031</v>
      </c>
      <c r="I60" s="3">
        <f t="shared" si="21"/>
        <v>25060.805792675936</v>
      </c>
      <c r="J60" s="3">
        <f t="shared" si="21"/>
        <v>30241.325572770824</v>
      </c>
      <c r="K60" s="3">
        <f t="shared" si="21"/>
        <v>35049.201138261553</v>
      </c>
      <c r="L60" s="3">
        <f t="shared" si="21"/>
        <v>39511.237465593054</v>
      </c>
      <c r="M60" s="3">
        <f t="shared" si="21"/>
        <v>43652.311400478437</v>
      </c>
      <c r="N60" s="3">
        <f t="shared" si="21"/>
        <v>47495.510351851088</v>
      </c>
      <c r="O60" s="3">
        <f t="shared" si="21"/>
        <v>51062.261009308422</v>
      </c>
      <c r="P60" s="3">
        <f t="shared" si="21"/>
        <v>54372.448801675659</v>
      </c>
      <c r="Q60" s="3">
        <f t="shared" si="21"/>
        <v>57444.528762697759</v>
      </c>
      <c r="R60" s="3">
        <f t="shared" si="21"/>
        <v>60295.628421960391</v>
      </c>
      <c r="S60" s="3">
        <f t="shared" si="21"/>
        <v>62941.643294679721</v>
      </c>
      <c r="T60" s="3">
        <f t="shared" si="21"/>
        <v>65397.325502737869</v>
      </c>
      <c r="U60" s="3">
        <f t="shared" si="21"/>
        <v>67676.366021046022</v>
      </c>
      <c r="V60" s="3">
        <f t="shared" si="21"/>
        <v>69791.471007776985</v>
      </c>
      <c r="W60" s="3">
        <f t="shared" si="21"/>
        <v>71754.432644025219</v>
      </c>
      <c r="X60" s="3">
        <f t="shared" si="21"/>
        <v>73576.194877841204</v>
      </c>
      <c r="Y60" s="3">
        <f t="shared" si="21"/>
        <v>75266.914439177825</v>
      </c>
    </row>
  </sheetData>
  <sheetProtection selectLockedCells="1"/>
  <mergeCells count="36">
    <mergeCell ref="A56:D56"/>
    <mergeCell ref="A59:D59"/>
    <mergeCell ref="A60:D60"/>
    <mergeCell ref="A55:D55"/>
    <mergeCell ref="A32:D32"/>
    <mergeCell ref="A34:D34"/>
    <mergeCell ref="A35:D35"/>
    <mergeCell ref="A33:D33"/>
    <mergeCell ref="A50:D50"/>
    <mergeCell ref="A51:D51"/>
    <mergeCell ref="A52:D52"/>
    <mergeCell ref="A53:D53"/>
    <mergeCell ref="A54:D54"/>
    <mergeCell ref="A29:D29"/>
    <mergeCell ref="A28:D28"/>
    <mergeCell ref="A13:D13"/>
    <mergeCell ref="A18:D18"/>
    <mergeCell ref="A20:D20"/>
    <mergeCell ref="A14:D14"/>
    <mergeCell ref="A19:D19"/>
    <mergeCell ref="A24:D24"/>
    <mergeCell ref="A16:D16"/>
    <mergeCell ref="A15:D15"/>
    <mergeCell ref="A17:D17"/>
    <mergeCell ref="A21:D21"/>
    <mergeCell ref="A27:D27"/>
    <mergeCell ref="A11:D11"/>
    <mergeCell ref="A12:D12"/>
    <mergeCell ref="A22:D22"/>
    <mergeCell ref="A25:D25"/>
    <mergeCell ref="A26:D26"/>
    <mergeCell ref="F3:I3"/>
    <mergeCell ref="I7:J7"/>
    <mergeCell ref="N7:O7"/>
    <mergeCell ref="A7:D7"/>
    <mergeCell ref="A9:D9"/>
  </mergeCells>
  <dataValidations disablePrompts="1"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Anuiteti!I4" display="NAZAD"/>
    <hyperlink ref="N7:O7" location="Econ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Z65"/>
  <sheetViews>
    <sheetView workbookViewId="0">
      <selection activeCell="F39" sqref="F39"/>
    </sheetView>
  </sheetViews>
  <sheetFormatPr defaultRowHeight="15" x14ac:dyDescent="0.25"/>
  <cols>
    <col min="4" max="4" width="20.5703125" customWidth="1"/>
    <col min="5" max="5" width="14.28515625" customWidth="1"/>
    <col min="6" max="6" width="13.140625" customWidth="1"/>
    <col min="7" max="7" width="13.28515625" customWidth="1"/>
    <col min="8" max="9" width="13.140625" customWidth="1"/>
    <col min="10" max="10" width="13.7109375" customWidth="1"/>
    <col min="11" max="11" width="13.140625" customWidth="1"/>
    <col min="12" max="12" width="14" customWidth="1"/>
    <col min="13" max="13" width="13.85546875" customWidth="1"/>
    <col min="14" max="14" width="14.28515625" customWidth="1"/>
    <col min="15" max="15" width="14.42578125" customWidth="1"/>
    <col min="16" max="16" width="14.28515625" customWidth="1"/>
    <col min="17" max="17" width="13.85546875" customWidth="1"/>
    <col min="18" max="18" width="14" customWidth="1"/>
    <col min="19" max="19" width="14.5703125" customWidth="1"/>
    <col min="20" max="20" width="14.42578125" customWidth="1"/>
    <col min="21" max="21" width="14" customWidth="1"/>
    <col min="22" max="22" width="13.85546875" customWidth="1"/>
    <col min="23" max="23" width="15.140625" customWidth="1"/>
    <col min="24" max="24" width="14.7109375" customWidth="1"/>
    <col min="25" max="25" width="14.5703125" customWidth="1"/>
  </cols>
  <sheetData>
    <row r="3" spans="1:25" ht="16.5" x14ac:dyDescent="0.35">
      <c r="F3" s="58" t="s">
        <v>188</v>
      </c>
      <c r="G3" s="58"/>
      <c r="H3" s="58"/>
      <c r="I3" s="58"/>
    </row>
    <row r="7" spans="1:25" ht="21" x14ac:dyDescent="0.35">
      <c r="A7" s="75" t="s">
        <v>189</v>
      </c>
      <c r="B7" s="75"/>
      <c r="C7" s="75"/>
      <c r="D7" s="75"/>
      <c r="I7" s="62" t="s">
        <v>130</v>
      </c>
      <c r="J7" s="62"/>
      <c r="N7" s="63" t="s">
        <v>131</v>
      </c>
      <c r="O7" s="63"/>
    </row>
    <row r="9" spans="1:25" x14ac:dyDescent="0.25">
      <c r="A9" s="61" t="s">
        <v>61</v>
      </c>
      <c r="B9" s="61"/>
      <c r="C9" s="61"/>
      <c r="D9" s="61"/>
      <c r="E9" s="16">
        <v>0</v>
      </c>
      <c r="F9" s="16">
        <v>1</v>
      </c>
      <c r="G9" s="16">
        <f>IF(F9&lt;UnosPodataka!$M$29,'FinInd+CO2'!F9+1,"")</f>
        <v>2</v>
      </c>
      <c r="H9" s="16">
        <f>IF(G9&lt;UnosPodataka!$M$29,'FinInd+CO2'!G9+1,"")</f>
        <v>3</v>
      </c>
      <c r="I9" s="16">
        <f>IF(H9&lt;UnosPodataka!$M$29,'FinInd+CO2'!H9+1,"")</f>
        <v>4</v>
      </c>
      <c r="J9" s="16">
        <f>IF(I9&lt;UnosPodataka!$M$29,'FinInd+CO2'!I9+1,"")</f>
        <v>5</v>
      </c>
      <c r="K9" s="16">
        <f>IF(J9&lt;UnosPodataka!$M$29,'FinInd+CO2'!J9+1,"")</f>
        <v>6</v>
      </c>
      <c r="L9" s="16">
        <f>IF(K9&lt;UnosPodataka!$M$29,'FinInd+CO2'!K9+1,"")</f>
        <v>7</v>
      </c>
      <c r="M9" s="16">
        <f>IF(L9&lt;UnosPodataka!$M$29,'FinInd+CO2'!L9+1,"")</f>
        <v>8</v>
      </c>
      <c r="N9" s="16">
        <f>IF(M9&lt;UnosPodataka!$M$29,'FinInd+CO2'!M9+1,"")</f>
        <v>9</v>
      </c>
      <c r="O9" s="16">
        <f>IF(N9&lt;UnosPodataka!$M$29,'FinInd+CO2'!N9+1,"")</f>
        <v>10</v>
      </c>
      <c r="P9" s="16">
        <f>IF(O9&lt;UnosPodataka!$M$29,'FinInd+CO2'!O9+1,"")</f>
        <v>11</v>
      </c>
      <c r="Q9" s="16">
        <f>IF(P9&lt;UnosPodataka!$M$29,'FinInd+CO2'!P9+1,"")</f>
        <v>12</v>
      </c>
      <c r="R9" s="16">
        <f>IF(Q9&lt;UnosPodataka!$M$29,'FinInd+CO2'!Q9+1,"")</f>
        <v>13</v>
      </c>
      <c r="S9" s="16">
        <f>IF(R9&lt;UnosPodataka!$M$29,'FinInd+CO2'!R9+1,"")</f>
        <v>14</v>
      </c>
      <c r="T9" s="16">
        <f>IF(S9&lt;UnosPodataka!$M$29,'FinInd+CO2'!S9+1,"")</f>
        <v>15</v>
      </c>
      <c r="U9" s="16">
        <f>IF(T9&lt;UnosPodataka!$M$29,'FinInd+CO2'!T9+1,"")</f>
        <v>16</v>
      </c>
      <c r="V9" s="16">
        <f>IF(U9&lt;UnosPodataka!$M$29,'FinInd+CO2'!U9+1,"")</f>
        <v>17</v>
      </c>
      <c r="W9" s="16">
        <f>IF(V9&lt;UnosPodataka!$M$29,'FinInd+CO2'!V9+1,"")</f>
        <v>18</v>
      </c>
      <c r="X9" s="16">
        <f>IF(W9&lt;UnosPodataka!$M$29,'FinInd+CO2'!W9+1,"")</f>
        <v>19</v>
      </c>
      <c r="Y9" s="16">
        <f>IF(X9&lt;UnosPodataka!$M$29,'FinInd+CO2'!X9+1,"")</f>
        <v>20</v>
      </c>
    </row>
    <row r="11" spans="1:25" x14ac:dyDescent="0.25">
      <c r="A11" s="68" t="s">
        <v>85</v>
      </c>
      <c r="B11" s="68"/>
      <c r="C11" s="68"/>
      <c r="D11" s="68"/>
      <c r="E11" s="3">
        <f>Loan</f>
        <v>20500</v>
      </c>
    </row>
    <row r="12" spans="1:25" x14ac:dyDescent="0.25">
      <c r="A12" s="68" t="s">
        <v>86</v>
      </c>
      <c r="B12" s="68"/>
      <c r="C12" s="68"/>
      <c r="D12" s="68"/>
      <c r="E12" s="3">
        <f>IF(Equity=0,Loan,Equity)</f>
        <v>5000</v>
      </c>
    </row>
    <row r="13" spans="1:25" x14ac:dyDescent="0.25">
      <c r="A13" s="68" t="s">
        <v>152</v>
      </c>
      <c r="B13" s="68"/>
      <c r="C13" s="68"/>
      <c r="D13" s="68"/>
      <c r="E13" s="3">
        <f>+PomTab1!K24</f>
        <v>10000</v>
      </c>
    </row>
    <row r="14" spans="1:25" x14ac:dyDescent="0.25">
      <c r="A14" s="68" t="s">
        <v>125</v>
      </c>
      <c r="B14" s="68"/>
      <c r="C14" s="68"/>
      <c r="D14" s="68"/>
      <c r="F14" s="3">
        <f t="shared" ref="F14:Y14" si="0">IF(F9&lt;&gt;"",HRED,"")</f>
        <v>98.000000000000014</v>
      </c>
      <c r="G14" s="3">
        <f t="shared" si="0"/>
        <v>98.000000000000014</v>
      </c>
      <c r="H14" s="3">
        <f t="shared" si="0"/>
        <v>98.000000000000014</v>
      </c>
      <c r="I14" s="3">
        <f t="shared" si="0"/>
        <v>98.000000000000014</v>
      </c>
      <c r="J14" s="3">
        <f t="shared" si="0"/>
        <v>98.000000000000014</v>
      </c>
      <c r="K14" s="3">
        <f t="shared" si="0"/>
        <v>98.000000000000014</v>
      </c>
      <c r="L14" s="3">
        <f t="shared" si="0"/>
        <v>98.000000000000014</v>
      </c>
      <c r="M14" s="3">
        <f t="shared" si="0"/>
        <v>98.000000000000014</v>
      </c>
      <c r="N14" s="3">
        <f t="shared" si="0"/>
        <v>98.000000000000014</v>
      </c>
      <c r="O14" s="3">
        <f t="shared" si="0"/>
        <v>98.000000000000014</v>
      </c>
      <c r="P14" s="3">
        <f t="shared" si="0"/>
        <v>98.000000000000014</v>
      </c>
      <c r="Q14" s="3">
        <f t="shared" si="0"/>
        <v>98.000000000000014</v>
      </c>
      <c r="R14" s="3">
        <f t="shared" si="0"/>
        <v>98.000000000000014</v>
      </c>
      <c r="S14" s="3">
        <f t="shared" si="0"/>
        <v>98.000000000000014</v>
      </c>
      <c r="T14" s="3">
        <f t="shared" si="0"/>
        <v>98.000000000000014</v>
      </c>
      <c r="U14" s="3">
        <f t="shared" si="0"/>
        <v>98.000000000000014</v>
      </c>
      <c r="V14" s="3">
        <f t="shared" si="0"/>
        <v>98.000000000000014</v>
      </c>
      <c r="W14" s="3">
        <f t="shared" si="0"/>
        <v>98.000000000000014</v>
      </c>
      <c r="X14" s="3">
        <f t="shared" si="0"/>
        <v>98.000000000000014</v>
      </c>
      <c r="Y14" s="3">
        <f t="shared" si="0"/>
        <v>98.000000000000014</v>
      </c>
    </row>
    <row r="15" spans="1:25" x14ac:dyDescent="0.25">
      <c r="A15" s="68" t="s">
        <v>126</v>
      </c>
      <c r="B15" s="68"/>
      <c r="C15" s="68"/>
      <c r="D15" s="68"/>
      <c r="F15" s="3">
        <f t="shared" ref="F15:Y15" si="1">IF(F9&lt;&gt;"",ECONS,"")</f>
        <v>14</v>
      </c>
      <c r="G15" s="3">
        <f t="shared" si="1"/>
        <v>14</v>
      </c>
      <c r="H15" s="3">
        <f t="shared" si="1"/>
        <v>14</v>
      </c>
      <c r="I15" s="3">
        <f t="shared" si="1"/>
        <v>14</v>
      </c>
      <c r="J15" s="3">
        <f t="shared" si="1"/>
        <v>14</v>
      </c>
      <c r="K15" s="3">
        <f t="shared" si="1"/>
        <v>14</v>
      </c>
      <c r="L15" s="3">
        <f t="shared" si="1"/>
        <v>14</v>
      </c>
      <c r="M15" s="3">
        <f t="shared" si="1"/>
        <v>14</v>
      </c>
      <c r="N15" s="3">
        <f t="shared" si="1"/>
        <v>14</v>
      </c>
      <c r="O15" s="3">
        <f t="shared" si="1"/>
        <v>14</v>
      </c>
      <c r="P15" s="3">
        <f t="shared" si="1"/>
        <v>14</v>
      </c>
      <c r="Q15" s="3">
        <f t="shared" si="1"/>
        <v>14</v>
      </c>
      <c r="R15" s="3">
        <f t="shared" si="1"/>
        <v>14</v>
      </c>
      <c r="S15" s="3">
        <f t="shared" si="1"/>
        <v>14</v>
      </c>
      <c r="T15" s="3">
        <f t="shared" si="1"/>
        <v>14</v>
      </c>
      <c r="U15" s="3">
        <f t="shared" si="1"/>
        <v>14</v>
      </c>
      <c r="V15" s="3">
        <f t="shared" si="1"/>
        <v>14</v>
      </c>
      <c r="W15" s="3">
        <f t="shared" si="1"/>
        <v>14</v>
      </c>
      <c r="X15" s="3">
        <f t="shared" si="1"/>
        <v>14</v>
      </c>
      <c r="Y15" s="3">
        <f t="shared" si="1"/>
        <v>14</v>
      </c>
    </row>
    <row r="16" spans="1:25" ht="18" x14ac:dyDescent="0.35">
      <c r="A16" s="68" t="s">
        <v>97</v>
      </c>
      <c r="B16" s="68"/>
      <c r="C16" s="68"/>
      <c r="D16" s="68"/>
      <c r="F16" s="3">
        <f t="shared" ref="F16:Y16" si="2">IF(F9&lt;&gt;"",IF(CARBON&lt;0,0,CARBON),"")</f>
        <v>10.360000000000001</v>
      </c>
      <c r="G16" s="3">
        <f t="shared" si="2"/>
        <v>10.360000000000001</v>
      </c>
      <c r="H16" s="3">
        <f t="shared" si="2"/>
        <v>10.360000000000001</v>
      </c>
      <c r="I16" s="3">
        <f t="shared" si="2"/>
        <v>10.360000000000001</v>
      </c>
      <c r="J16" s="3">
        <f t="shared" si="2"/>
        <v>10.360000000000001</v>
      </c>
      <c r="K16" s="3">
        <f t="shared" si="2"/>
        <v>10.360000000000001</v>
      </c>
      <c r="L16" s="3">
        <f t="shared" si="2"/>
        <v>10.360000000000001</v>
      </c>
      <c r="M16" s="3">
        <f t="shared" si="2"/>
        <v>10.360000000000001</v>
      </c>
      <c r="N16" s="3">
        <f t="shared" si="2"/>
        <v>10.360000000000001</v>
      </c>
      <c r="O16" s="3">
        <f t="shared" si="2"/>
        <v>10.360000000000001</v>
      </c>
      <c r="P16" s="3">
        <f t="shared" si="2"/>
        <v>10.360000000000001</v>
      </c>
      <c r="Q16" s="3">
        <f t="shared" si="2"/>
        <v>10.360000000000001</v>
      </c>
      <c r="R16" s="3">
        <f t="shared" si="2"/>
        <v>10.360000000000001</v>
      </c>
      <c r="S16" s="3">
        <f t="shared" si="2"/>
        <v>10.360000000000001</v>
      </c>
      <c r="T16" s="3">
        <f t="shared" si="2"/>
        <v>10.360000000000001</v>
      </c>
      <c r="U16" s="3">
        <f t="shared" si="2"/>
        <v>10.360000000000001</v>
      </c>
      <c r="V16" s="3">
        <f t="shared" si="2"/>
        <v>10.360000000000001</v>
      </c>
      <c r="W16" s="3">
        <f t="shared" si="2"/>
        <v>10.360000000000001</v>
      </c>
      <c r="X16" s="3">
        <f t="shared" si="2"/>
        <v>10.360000000000001</v>
      </c>
      <c r="Y16" s="3">
        <f t="shared" si="2"/>
        <v>10.360000000000001</v>
      </c>
    </row>
    <row r="17" spans="1:25" x14ac:dyDescent="0.25">
      <c r="A17" s="69"/>
      <c r="B17" s="69"/>
      <c r="C17" s="69"/>
      <c r="D17" s="6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1" t="s">
        <v>153</v>
      </c>
      <c r="B18" s="61"/>
      <c r="C18" s="61"/>
      <c r="D18" s="6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68" t="s">
        <v>127</v>
      </c>
      <c r="B19" s="68"/>
      <c r="C19" s="68"/>
      <c r="D19" s="68"/>
      <c r="F19" s="3">
        <f t="shared" ref="F19:Y19" si="3">IF(F9&lt;&gt;"",Money,"")</f>
        <v>7524.4354790661264</v>
      </c>
      <c r="G19" s="3">
        <f t="shared" si="3"/>
        <v>7524.4354790661264</v>
      </c>
      <c r="H19" s="3">
        <f t="shared" si="3"/>
        <v>7524.4354790661264</v>
      </c>
      <c r="I19" s="3">
        <f t="shared" si="3"/>
        <v>7524.4354790661264</v>
      </c>
      <c r="J19" s="3">
        <f t="shared" si="3"/>
        <v>7524.4354790661264</v>
      </c>
      <c r="K19" s="3">
        <f t="shared" si="3"/>
        <v>7524.4354790661264</v>
      </c>
      <c r="L19" s="3">
        <f t="shared" si="3"/>
        <v>7524.4354790661264</v>
      </c>
      <c r="M19" s="3">
        <f t="shared" si="3"/>
        <v>7524.4354790661264</v>
      </c>
      <c r="N19" s="3">
        <f t="shared" si="3"/>
        <v>7524.4354790661264</v>
      </c>
      <c r="O19" s="3">
        <f t="shared" si="3"/>
        <v>7524.4354790661264</v>
      </c>
      <c r="P19" s="3">
        <f t="shared" si="3"/>
        <v>7524.4354790661264</v>
      </c>
      <c r="Q19" s="3">
        <f t="shared" si="3"/>
        <v>7524.4354790661264</v>
      </c>
      <c r="R19" s="3">
        <f t="shared" si="3"/>
        <v>7524.4354790661264</v>
      </c>
      <c r="S19" s="3">
        <f t="shared" si="3"/>
        <v>7524.4354790661264</v>
      </c>
      <c r="T19" s="3">
        <f t="shared" si="3"/>
        <v>7524.4354790661264</v>
      </c>
      <c r="U19" s="3">
        <f t="shared" si="3"/>
        <v>7524.4354790661264</v>
      </c>
      <c r="V19" s="3">
        <f t="shared" si="3"/>
        <v>7524.4354790661264</v>
      </c>
      <c r="W19" s="3">
        <f t="shared" si="3"/>
        <v>7524.4354790661264</v>
      </c>
      <c r="X19" s="3">
        <f t="shared" si="3"/>
        <v>7524.4354790661264</v>
      </c>
      <c r="Y19" s="3">
        <f t="shared" si="3"/>
        <v>7524.4354790661264</v>
      </c>
    </row>
    <row r="20" spans="1:25" ht="18" x14ac:dyDescent="0.35">
      <c r="A20" s="68" t="s">
        <v>98</v>
      </c>
      <c r="B20" s="68"/>
      <c r="C20" s="68"/>
      <c r="D20" s="68"/>
      <c r="F20" s="3">
        <f t="shared" ref="F20:Y20" si="4">IF(F9&lt;&gt;"",F16*CO2Tax,"")</f>
        <v>1009.4784000000001</v>
      </c>
      <c r="G20" s="3">
        <f t="shared" si="4"/>
        <v>1009.4784000000001</v>
      </c>
      <c r="H20" s="3">
        <f t="shared" si="4"/>
        <v>1009.4784000000001</v>
      </c>
      <c r="I20" s="3">
        <f t="shared" si="4"/>
        <v>1009.4784000000001</v>
      </c>
      <c r="J20" s="3">
        <f t="shared" si="4"/>
        <v>1009.4784000000001</v>
      </c>
      <c r="K20" s="3">
        <f t="shared" si="4"/>
        <v>1009.4784000000001</v>
      </c>
      <c r="L20" s="3">
        <f t="shared" si="4"/>
        <v>1009.4784000000001</v>
      </c>
      <c r="M20" s="3">
        <f t="shared" si="4"/>
        <v>1009.4784000000001</v>
      </c>
      <c r="N20" s="3">
        <f t="shared" si="4"/>
        <v>1009.4784000000001</v>
      </c>
      <c r="O20" s="3">
        <f t="shared" si="4"/>
        <v>1009.4784000000001</v>
      </c>
      <c r="P20" s="3">
        <f t="shared" si="4"/>
        <v>1009.4784000000001</v>
      </c>
      <c r="Q20" s="3">
        <f t="shared" si="4"/>
        <v>1009.4784000000001</v>
      </c>
      <c r="R20" s="3">
        <f t="shared" si="4"/>
        <v>1009.4784000000001</v>
      </c>
      <c r="S20" s="3">
        <f t="shared" si="4"/>
        <v>1009.4784000000001</v>
      </c>
      <c r="T20" s="3">
        <f t="shared" si="4"/>
        <v>1009.4784000000001</v>
      </c>
      <c r="U20" s="3">
        <f t="shared" si="4"/>
        <v>1009.4784000000001</v>
      </c>
      <c r="V20" s="3">
        <f t="shared" si="4"/>
        <v>1009.4784000000001</v>
      </c>
      <c r="W20" s="3">
        <f t="shared" si="4"/>
        <v>1009.4784000000001</v>
      </c>
      <c r="X20" s="3">
        <f t="shared" si="4"/>
        <v>1009.4784000000001</v>
      </c>
      <c r="Y20" s="3">
        <f t="shared" si="4"/>
        <v>1009.4784000000001</v>
      </c>
    </row>
    <row r="21" spans="1:25" x14ac:dyDescent="0.25">
      <c r="A21" s="73" t="s">
        <v>87</v>
      </c>
      <c r="B21" s="73"/>
      <c r="C21" s="73"/>
      <c r="D21" s="73"/>
      <c r="E21" s="32"/>
      <c r="F21" s="33">
        <f t="shared" ref="F21:Y21" si="5">IF(F9&lt;&gt;"",F19+F20,"")</f>
        <v>8533.9138790661273</v>
      </c>
      <c r="G21" s="33">
        <f t="shared" si="5"/>
        <v>8533.9138790661273</v>
      </c>
      <c r="H21" s="33">
        <f t="shared" si="5"/>
        <v>8533.9138790661273</v>
      </c>
      <c r="I21" s="33">
        <f t="shared" si="5"/>
        <v>8533.9138790661273</v>
      </c>
      <c r="J21" s="33">
        <f t="shared" si="5"/>
        <v>8533.9138790661273</v>
      </c>
      <c r="K21" s="33">
        <f t="shared" si="5"/>
        <v>8533.9138790661273</v>
      </c>
      <c r="L21" s="33">
        <f t="shared" si="5"/>
        <v>8533.9138790661273</v>
      </c>
      <c r="M21" s="33">
        <f t="shared" si="5"/>
        <v>8533.9138790661273</v>
      </c>
      <c r="N21" s="33">
        <f t="shared" si="5"/>
        <v>8533.9138790661273</v>
      </c>
      <c r="O21" s="33">
        <f t="shared" si="5"/>
        <v>8533.9138790661273</v>
      </c>
      <c r="P21" s="33">
        <f t="shared" si="5"/>
        <v>8533.9138790661273</v>
      </c>
      <c r="Q21" s="33">
        <f t="shared" si="5"/>
        <v>8533.9138790661273</v>
      </c>
      <c r="R21" s="33">
        <f t="shared" si="5"/>
        <v>8533.9138790661273</v>
      </c>
      <c r="S21" s="33">
        <f t="shared" si="5"/>
        <v>8533.9138790661273</v>
      </c>
      <c r="T21" s="33">
        <f t="shared" si="5"/>
        <v>8533.9138790661273</v>
      </c>
      <c r="U21" s="33">
        <f t="shared" si="5"/>
        <v>8533.9138790661273</v>
      </c>
      <c r="V21" s="33">
        <f t="shared" si="5"/>
        <v>8533.9138790661273</v>
      </c>
      <c r="W21" s="33">
        <f t="shared" si="5"/>
        <v>8533.9138790661273</v>
      </c>
      <c r="X21" s="33">
        <f t="shared" si="5"/>
        <v>8533.9138790661273</v>
      </c>
      <c r="Y21" s="33">
        <f t="shared" si="5"/>
        <v>8533.9138790661273</v>
      </c>
    </row>
    <row r="22" spans="1:25" x14ac:dyDescent="0.25">
      <c r="A22" s="69"/>
      <c r="B22" s="69"/>
      <c r="C22" s="69"/>
      <c r="D22" s="69"/>
    </row>
    <row r="23" spans="1:25" x14ac:dyDescent="0.25">
      <c r="A23" s="61" t="s">
        <v>154</v>
      </c>
      <c r="B23" s="61"/>
      <c r="C23" s="61"/>
      <c r="D23" s="61"/>
    </row>
    <row r="24" spans="1:25" x14ac:dyDescent="0.25">
      <c r="A24" s="68" t="s">
        <v>155</v>
      </c>
      <c r="B24" s="68"/>
      <c r="C24" s="68"/>
      <c r="D24" s="68"/>
      <c r="F24" s="3">
        <f>+FinaIndikatori!F22</f>
        <v>-2460</v>
      </c>
      <c r="G24" s="3">
        <f>+FinaIndikatori!G22</f>
        <v>-2259.9950102135635</v>
      </c>
      <c r="H24" s="3">
        <f>+FinaIndikatori!H22</f>
        <v>-2035.9894216527546</v>
      </c>
      <c r="I24" s="3">
        <f>+FinaIndikatori!I22</f>
        <v>-1785.1031624646482</v>
      </c>
      <c r="J24" s="3">
        <f>+FinaIndikatori!J22</f>
        <v>-1504.1105521739692</v>
      </c>
      <c r="K24" s="3">
        <f>+FinaIndikatori!K22</f>
        <v>-1189.3988286484087</v>
      </c>
      <c r="L24" s="3">
        <f>+FinaIndikatori!L22</f>
        <v>-836.92169829978104</v>
      </c>
      <c r="M24" s="3">
        <f>+FinaIndikatori!M22</f>
        <v>-442.14731230931818</v>
      </c>
      <c r="N24" s="3" t="str">
        <f>+FinaIndikatori!N22</f>
        <v/>
      </c>
      <c r="O24" s="3" t="str">
        <f>+FinaIndikatori!O22</f>
        <v/>
      </c>
      <c r="P24" s="3" t="str">
        <f>+FinaIndikatori!P22</f>
        <v/>
      </c>
      <c r="Q24" s="3" t="str">
        <f>+FinaIndikatori!Q22</f>
        <v/>
      </c>
      <c r="R24" s="3" t="str">
        <f>+FinaIndikatori!R22</f>
        <v/>
      </c>
      <c r="S24" s="3" t="str">
        <f>+FinaIndikatori!S22</f>
        <v/>
      </c>
      <c r="T24" s="3" t="str">
        <f>+FinaIndikatori!T22</f>
        <v/>
      </c>
      <c r="U24" s="3" t="str">
        <f>+FinaIndikatori!U22</f>
        <v/>
      </c>
      <c r="V24" s="3" t="str">
        <f>+FinaIndikatori!V22</f>
        <v/>
      </c>
      <c r="W24" s="3" t="str">
        <f>+FinaIndikatori!W22</f>
        <v/>
      </c>
      <c r="X24" s="3" t="str">
        <f>+FinaIndikatori!X22</f>
        <v/>
      </c>
      <c r="Y24" s="3" t="str">
        <f>+FinaIndikatori!Y22</f>
        <v/>
      </c>
    </row>
    <row r="25" spans="1:25" x14ac:dyDescent="0.25">
      <c r="A25" s="22" t="s">
        <v>156</v>
      </c>
      <c r="B25" s="22"/>
      <c r="C25" s="22"/>
      <c r="D25" s="22"/>
      <c r="F25" s="3">
        <f>IF(F24="",0,IF(F9&gt;UnosPodataka!$M$26,"",VLOOKUP(F9,Anuiteti!$B$13:$E$32,4,FALSE)+VLOOKUP(F9,Anuiteti!$B$13:$E$32,3,FALSE)))</f>
        <v>-1666.7082482203059</v>
      </c>
      <c r="G25" s="3">
        <f>IF(G24="",0,IF(G9&gt;UnosPodataka!$M$26,"",VLOOKUP(G9,Anuiteti!$B$13:$E$32,4,FALSE)+VLOOKUP(G9,Anuiteti!$B$13:$E$32,3,FALSE)))</f>
        <v>-1866.7132380067424</v>
      </c>
      <c r="H25" s="3">
        <f>IF(H24="",0,IF(H9&gt;UnosPodataka!$M$26,"",VLOOKUP(H9,Anuiteti!$B$13:$E$32,4,FALSE)+VLOOKUP(H9,Anuiteti!$B$13:$E$32,3,FALSE)))</f>
        <v>-2090.7188265675513</v>
      </c>
      <c r="I25" s="3">
        <f>IF(I24="",0,IF(I9&gt;UnosPodataka!$M$26,"",VLOOKUP(I9,Anuiteti!$B$13:$E$32,4,FALSE)+VLOOKUP(I9,Anuiteti!$B$13:$E$32,3,FALSE)))</f>
        <v>-2341.6050857556575</v>
      </c>
      <c r="J25" s="3">
        <f>IF(J24="",0,IF(J9&gt;UnosPodataka!$M$26,"",VLOOKUP(J9,Anuiteti!$B$13:$E$32,4,FALSE)+VLOOKUP(J9,Anuiteti!$B$13:$E$32,3,FALSE)))</f>
        <v>-2622.5976960463368</v>
      </c>
      <c r="K25" s="3">
        <f>IF(K24="",0,IF(K9&gt;UnosPodataka!$M$26,"",VLOOKUP(K9,Anuiteti!$B$13:$E$32,4,FALSE)+VLOOKUP(K9,Anuiteti!$B$13:$E$32,3,FALSE)))</f>
        <v>-2937.3094195718973</v>
      </c>
      <c r="L25" s="3">
        <f>IF(L24="",0,IF(L9&gt;UnosPodataka!$M$26,"",VLOOKUP(L9,Anuiteti!$B$13:$E$32,4,FALSE)+VLOOKUP(L9,Anuiteti!$B$13:$E$32,3,FALSE)))</f>
        <v>-3289.786549920525</v>
      </c>
      <c r="M25" s="3">
        <f>IF(M24="",0,IF(M9&gt;UnosPodataka!$M$26,"",VLOOKUP(M9,Anuiteti!$B$13:$E$32,4,FALSE)+VLOOKUP(M9,Anuiteti!$B$13:$E$32,3,FALSE)))</f>
        <v>-3684.5609359109876</v>
      </c>
      <c r="N25" s="3">
        <f>IF(N24="",0,IF(N9&gt;UnosPodataka!$M$26,"",VLOOKUP(N9,Anuiteti!$B$13:$E$32,4,FALSE)+VLOOKUP(N9,Anuiteti!$B$13:$E$32,3,FALSE)))</f>
        <v>0</v>
      </c>
      <c r="O25" s="3">
        <f>IF(O24="",0,IF(O9&gt;UnosPodataka!$M$26,"",VLOOKUP(O9,Anuiteti!$B$13:$E$32,4,FALSE)+VLOOKUP(O9,Anuiteti!$B$13:$E$32,3,FALSE)))</f>
        <v>0</v>
      </c>
      <c r="P25" s="3">
        <f>IF(P24="",0,IF(P9&gt;UnosPodataka!$M$26,"",VLOOKUP(P9,Anuiteti!$B$13:$E$32,4,FALSE)+VLOOKUP(P9,Anuiteti!$B$13:$E$32,3,FALSE)))</f>
        <v>0</v>
      </c>
      <c r="Q25" s="3">
        <f>IF(Q24="",0,IF(Q9&gt;UnosPodataka!$M$26,"",VLOOKUP(Q9,Anuiteti!$B$13:$E$32,4,FALSE)+VLOOKUP(Q9,Anuiteti!$B$13:$E$32,3,FALSE)))</f>
        <v>0</v>
      </c>
      <c r="R25" s="3">
        <f>IF(R24="",0,IF(R9&gt;UnosPodataka!$M$26,"",VLOOKUP(R9,Anuiteti!$B$13:$E$32,4,FALSE)+VLOOKUP(R9,Anuiteti!$B$13:$E$32,3,FALSE)))</f>
        <v>0</v>
      </c>
      <c r="S25" s="3">
        <f>IF(S24="",0,IF(S9&gt;UnosPodataka!$M$26,"",VLOOKUP(S9,Anuiteti!$B$13:$E$32,4,FALSE)+VLOOKUP(S9,Anuiteti!$B$13:$E$32,3,FALSE)))</f>
        <v>0</v>
      </c>
      <c r="T25" s="3">
        <f>IF(T24="",0,IF(T9&gt;UnosPodataka!$M$26,"",VLOOKUP(T9,Anuiteti!$B$13:$E$32,4,FALSE)+VLOOKUP(T9,Anuiteti!$B$13:$E$32,3,FALSE)))</f>
        <v>0</v>
      </c>
      <c r="U25" s="3">
        <f>IF(U24="",0,IF(U9&gt;UnosPodataka!$M$26,"",VLOOKUP(U9,Anuiteti!$B$13:$E$32,4,FALSE)+VLOOKUP(U9,Anuiteti!$B$13:$E$32,3,FALSE)))</f>
        <v>0</v>
      </c>
      <c r="V25" s="3">
        <f>IF(V24="",0,IF(V9&gt;UnosPodataka!$M$26,"",VLOOKUP(V9,Anuiteti!$B$13:$E$32,4,FALSE)+VLOOKUP(V9,Anuiteti!$B$13:$E$32,3,FALSE)))</f>
        <v>0</v>
      </c>
      <c r="W25" s="3">
        <f>IF(W24="",0,IF(W9&gt;UnosPodataka!$M$26,"",VLOOKUP(W9,Anuiteti!$B$13:$E$32,4,FALSE)+VLOOKUP(W9,Anuiteti!$B$13:$E$32,3,FALSE)))</f>
        <v>0</v>
      </c>
      <c r="X25" s="3">
        <f>IF(X24="",0,IF(X9&gt;UnosPodataka!$M$26,"",VLOOKUP(X9,Anuiteti!$B$13:$E$32,4,FALSE)+VLOOKUP(X9,Anuiteti!$B$13:$E$32,3,FALSE)))</f>
        <v>0</v>
      </c>
      <c r="Y25" s="3">
        <f>IF(Y24="",0,IF(Y9&gt;UnosPodataka!$M$26,"",VLOOKUP(Y9,Anuiteti!$B$13:$E$32,4,FALSE)+VLOOKUP(Y9,Anuiteti!$B$13:$E$32,3,FALSE)))</f>
        <v>0</v>
      </c>
    </row>
    <row r="26" spans="1:25" x14ac:dyDescent="0.25">
      <c r="A26" s="68" t="s">
        <v>88</v>
      </c>
      <c r="B26" s="68"/>
      <c r="C26" s="68"/>
      <c r="D26" s="68"/>
      <c r="F26" s="3">
        <f>+FinaIndikatori!F24</f>
        <v>-100</v>
      </c>
      <c r="G26" s="3">
        <f>+FinaIndikatori!G24</f>
        <v>-100</v>
      </c>
      <c r="H26" s="3">
        <f>+FinaIndikatori!H24</f>
        <v>-100</v>
      </c>
      <c r="I26" s="3">
        <f>+FinaIndikatori!I24</f>
        <v>-100</v>
      </c>
      <c r="J26" s="3">
        <f>+FinaIndikatori!J24</f>
        <v>-100</v>
      </c>
      <c r="K26" s="3">
        <f>+FinaIndikatori!K24</f>
        <v>-100</v>
      </c>
      <c r="L26" s="3">
        <f>+FinaIndikatori!L24</f>
        <v>-100</v>
      </c>
      <c r="M26" s="3">
        <f>+FinaIndikatori!M24</f>
        <v>-100</v>
      </c>
      <c r="N26" s="3">
        <f>+FinaIndikatori!N24</f>
        <v>-100</v>
      </c>
      <c r="O26" s="3">
        <f>+FinaIndikatori!O24</f>
        <v>-100</v>
      </c>
      <c r="P26" s="3">
        <f>+FinaIndikatori!P24</f>
        <v>-100</v>
      </c>
      <c r="Q26" s="3">
        <f>+FinaIndikatori!Q24</f>
        <v>-100</v>
      </c>
      <c r="R26" s="3">
        <f>+FinaIndikatori!R24</f>
        <v>-100</v>
      </c>
      <c r="S26" s="3">
        <f>+FinaIndikatori!S24</f>
        <v>-100</v>
      </c>
      <c r="T26" s="3">
        <f>+FinaIndikatori!T24</f>
        <v>-100</v>
      </c>
      <c r="U26" s="3">
        <f>+FinaIndikatori!U24</f>
        <v>-100</v>
      </c>
      <c r="V26" s="3">
        <f>+FinaIndikatori!V24</f>
        <v>-100</v>
      </c>
      <c r="W26" s="3">
        <f>+FinaIndikatori!W24</f>
        <v>-100</v>
      </c>
      <c r="X26" s="3">
        <f>+FinaIndikatori!X24</f>
        <v>-100</v>
      </c>
      <c r="Y26" s="3">
        <f>+FinaIndikatori!Y24</f>
        <v>-100</v>
      </c>
    </row>
    <row r="27" spans="1:25" x14ac:dyDescent="0.25">
      <c r="A27" s="68" t="s">
        <v>89</v>
      </c>
      <c r="B27" s="68"/>
      <c r="C27" s="68"/>
      <c r="D27" s="68"/>
      <c r="F27" s="3">
        <f>+FinaIndikatori!F25</f>
        <v>-532.5</v>
      </c>
      <c r="G27" s="3">
        <f>+FinaIndikatori!G25</f>
        <v>-532.5</v>
      </c>
      <c r="H27" s="3">
        <f>+FinaIndikatori!H25</f>
        <v>-532.5</v>
      </c>
      <c r="I27" s="3">
        <f>+FinaIndikatori!I25</f>
        <v>-532.5</v>
      </c>
      <c r="J27" s="3">
        <f>+FinaIndikatori!J25</f>
        <v>-532.5</v>
      </c>
      <c r="K27" s="3">
        <f>+FinaIndikatori!K25</f>
        <v>-532.5</v>
      </c>
      <c r="L27" s="3">
        <f>+FinaIndikatori!L25</f>
        <v>-532.5</v>
      </c>
      <c r="M27" s="3">
        <f>+FinaIndikatori!M25</f>
        <v>-532.5</v>
      </c>
      <c r="N27" s="3">
        <f>+FinaIndikatori!N25</f>
        <v>-532.5</v>
      </c>
      <c r="O27" s="3">
        <f>+FinaIndikatori!O25</f>
        <v>-532.5</v>
      </c>
      <c r="P27" s="3">
        <f>+FinaIndikatori!P25</f>
        <v>-532.5</v>
      </c>
      <c r="Q27" s="3">
        <f>+FinaIndikatori!Q25</f>
        <v>-532.5</v>
      </c>
      <c r="R27" s="3">
        <f>+FinaIndikatori!R25</f>
        <v>-532.5</v>
      </c>
      <c r="S27" s="3">
        <f>+FinaIndikatori!S25</f>
        <v>-532.5</v>
      </c>
      <c r="T27" s="3">
        <f>+FinaIndikatori!T25</f>
        <v>-532.5</v>
      </c>
      <c r="U27" s="3">
        <f>+FinaIndikatori!U25</f>
        <v>-532.5</v>
      </c>
      <c r="V27" s="3">
        <f>+FinaIndikatori!V25</f>
        <v>-532.5</v>
      </c>
      <c r="W27" s="3">
        <f>+FinaIndikatori!W25</f>
        <v>-532.5</v>
      </c>
      <c r="X27" s="3">
        <f>+FinaIndikatori!X25</f>
        <v>-532.5</v>
      </c>
      <c r="Y27" s="3">
        <f>+FinaIndikatori!Y25</f>
        <v>-532.5</v>
      </c>
    </row>
    <row r="28" spans="1:25" x14ac:dyDescent="0.25">
      <c r="A28" s="68" t="s">
        <v>90</v>
      </c>
      <c r="B28" s="68"/>
      <c r="C28" s="68"/>
      <c r="D28" s="68"/>
      <c r="F28" s="3">
        <f>+FinaIndikatori!F26</f>
        <v>0</v>
      </c>
      <c r="G28" s="3">
        <f>+FinaIndikatori!G26</f>
        <v>0</v>
      </c>
      <c r="H28" s="3">
        <f>+FinaIndikatori!H26</f>
        <v>0</v>
      </c>
      <c r="I28" s="3">
        <f>+FinaIndikatori!I26</f>
        <v>0</v>
      </c>
      <c r="J28" s="3">
        <f>+FinaIndikatori!J26</f>
        <v>0</v>
      </c>
      <c r="K28" s="3">
        <f>+FinaIndikatori!K26</f>
        <v>0</v>
      </c>
      <c r="L28" s="3">
        <f>+FinaIndikatori!L26</f>
        <v>0</v>
      </c>
      <c r="M28" s="3">
        <f>+FinaIndikatori!M26</f>
        <v>0</v>
      </c>
      <c r="N28" s="3">
        <f>+FinaIndikatori!N26</f>
        <v>0</v>
      </c>
      <c r="O28" s="3">
        <f>+FinaIndikatori!O26</f>
        <v>0</v>
      </c>
      <c r="P28" s="3">
        <f>+FinaIndikatori!P26</f>
        <v>0</v>
      </c>
      <c r="Q28" s="3">
        <f>+FinaIndikatori!Q26</f>
        <v>0</v>
      </c>
      <c r="R28" s="3">
        <f>+FinaIndikatori!R26</f>
        <v>0</v>
      </c>
      <c r="S28" s="3">
        <f>+FinaIndikatori!S26</f>
        <v>0</v>
      </c>
      <c r="T28" s="3">
        <f>+FinaIndikatori!T26</f>
        <v>0</v>
      </c>
      <c r="U28" s="3">
        <f>+FinaIndikatori!U26</f>
        <v>0</v>
      </c>
      <c r="V28" s="3">
        <f>+FinaIndikatori!V26</f>
        <v>0</v>
      </c>
      <c r="W28" s="3">
        <f>+FinaIndikatori!W26</f>
        <v>0</v>
      </c>
      <c r="X28" s="3">
        <f>+FinaIndikatori!X26</f>
        <v>0</v>
      </c>
      <c r="Y28" s="3">
        <f>+FinaIndikatori!Y26</f>
        <v>0</v>
      </c>
    </row>
    <row r="29" spans="1:25" x14ac:dyDescent="0.25">
      <c r="A29" s="68" t="s">
        <v>157</v>
      </c>
      <c r="B29" s="68"/>
      <c r="C29" s="68"/>
      <c r="D29" s="68"/>
      <c r="F29" s="3">
        <f>+FinaIndikatori!F27</f>
        <v>-3550</v>
      </c>
      <c r="G29" s="3">
        <f>+FinaIndikatori!G27</f>
        <v>-3550</v>
      </c>
      <c r="H29" s="3">
        <f>+FinaIndikatori!H27</f>
        <v>-3550</v>
      </c>
      <c r="I29" s="3">
        <f>+FinaIndikatori!I27</f>
        <v>-3550</v>
      </c>
      <c r="J29" s="3">
        <f>+FinaIndikatori!J27</f>
        <v>-3550</v>
      </c>
      <c r="K29" s="3">
        <f>+FinaIndikatori!K27</f>
        <v>-3550</v>
      </c>
      <c r="L29" s="3">
        <f>+FinaIndikatori!L27</f>
        <v>-3550</v>
      </c>
      <c r="M29" s="3">
        <f>+FinaIndikatori!M27</f>
        <v>-3550</v>
      </c>
      <c r="N29" s="3">
        <f>+FinaIndikatori!N27</f>
        <v>-3550</v>
      </c>
      <c r="O29" s="3">
        <f>+FinaIndikatori!O27</f>
        <v>-3550</v>
      </c>
      <c r="P29" s="3">
        <f>+FinaIndikatori!P27</f>
        <v>-3550</v>
      </c>
      <c r="Q29" s="3">
        <f>+FinaIndikatori!Q27</f>
        <v>-3550</v>
      </c>
      <c r="R29" s="3">
        <f>+FinaIndikatori!R27</f>
        <v>-3550</v>
      </c>
      <c r="S29" s="3">
        <f>+FinaIndikatori!S27</f>
        <v>-3550</v>
      </c>
      <c r="T29" s="3">
        <f>+FinaIndikatori!T27</f>
        <v>-3550</v>
      </c>
      <c r="U29" s="3">
        <f>+FinaIndikatori!U27</f>
        <v>-3550</v>
      </c>
      <c r="V29" s="3">
        <f>+FinaIndikatori!V27</f>
        <v>-3550</v>
      </c>
      <c r="W29" s="3">
        <f>+FinaIndikatori!W27</f>
        <v>-3550</v>
      </c>
      <c r="X29" s="3">
        <f>+FinaIndikatori!X27</f>
        <v>-3550</v>
      </c>
      <c r="Y29" s="3">
        <f>+FinaIndikatori!Y27</f>
        <v>-3550</v>
      </c>
    </row>
    <row r="30" spans="1:25" x14ac:dyDescent="0.25">
      <c r="A30" s="68" t="s">
        <v>91</v>
      </c>
      <c r="B30" s="68"/>
      <c r="C30" s="68"/>
      <c r="D30" s="68"/>
      <c r="F30" s="3">
        <f>+FinaIndikatori!F28</f>
        <v>0</v>
      </c>
      <c r="G30" s="3">
        <f>+FinaIndikatori!G28</f>
        <v>0</v>
      </c>
      <c r="H30" s="3">
        <f>+FinaIndikatori!H28</f>
        <v>0</v>
      </c>
      <c r="I30" s="3">
        <f>+FinaIndikatori!I28</f>
        <v>0</v>
      </c>
      <c r="J30" s="3">
        <f>+FinaIndikatori!J28</f>
        <v>0</v>
      </c>
      <c r="K30" s="3">
        <f>+FinaIndikatori!K28</f>
        <v>0</v>
      </c>
      <c r="L30" s="3">
        <f>+FinaIndikatori!L28</f>
        <v>0</v>
      </c>
      <c r="M30" s="3">
        <f>+FinaIndikatori!M28</f>
        <v>0</v>
      </c>
      <c r="N30" s="3">
        <f>+FinaIndikatori!N28</f>
        <v>0</v>
      </c>
      <c r="O30" s="3">
        <f>+FinaIndikatori!O28</f>
        <v>0</v>
      </c>
      <c r="P30" s="3">
        <f>+FinaIndikatori!P28</f>
        <v>0</v>
      </c>
      <c r="Q30" s="3">
        <f>+FinaIndikatori!Q28</f>
        <v>0</v>
      </c>
      <c r="R30" s="3">
        <f>+FinaIndikatori!R28</f>
        <v>0</v>
      </c>
      <c r="S30" s="3">
        <f>+FinaIndikatori!S28</f>
        <v>0</v>
      </c>
      <c r="T30" s="3">
        <f>+FinaIndikatori!T28</f>
        <v>0</v>
      </c>
      <c r="U30" s="3">
        <f>+FinaIndikatori!U28</f>
        <v>0</v>
      </c>
      <c r="V30" s="3">
        <f>+FinaIndikatori!V28</f>
        <v>0</v>
      </c>
      <c r="W30" s="3">
        <f>+FinaIndikatori!W28</f>
        <v>0</v>
      </c>
      <c r="X30" s="3">
        <f>+FinaIndikatori!X28</f>
        <v>0</v>
      </c>
      <c r="Y30" s="3">
        <f>+FinaIndikatori!Y28</f>
        <v>0</v>
      </c>
    </row>
    <row r="31" spans="1:25" x14ac:dyDescent="0.25">
      <c r="A31" s="73" t="s">
        <v>99</v>
      </c>
      <c r="B31" s="73"/>
      <c r="C31" s="73"/>
      <c r="D31" s="73"/>
      <c r="E31" s="32"/>
      <c r="F31" s="33">
        <f t="shared" ref="F31:Y31" si="6">IF(F9&lt;&gt;"",SUM(F24:F30),"")</f>
        <v>-8309.2082482203059</v>
      </c>
      <c r="G31" s="33">
        <f t="shared" si="6"/>
        <v>-8309.2082482203059</v>
      </c>
      <c r="H31" s="33">
        <f t="shared" si="6"/>
        <v>-8309.2082482203059</v>
      </c>
      <c r="I31" s="33">
        <f t="shared" si="6"/>
        <v>-8309.2082482203059</v>
      </c>
      <c r="J31" s="33">
        <f t="shared" si="6"/>
        <v>-8309.2082482203059</v>
      </c>
      <c r="K31" s="33">
        <f t="shared" si="6"/>
        <v>-8309.2082482203059</v>
      </c>
      <c r="L31" s="33">
        <f t="shared" si="6"/>
        <v>-8309.2082482203059</v>
      </c>
      <c r="M31" s="33">
        <f t="shared" si="6"/>
        <v>-8309.2082482203059</v>
      </c>
      <c r="N31" s="33">
        <f t="shared" si="6"/>
        <v>-4182.5</v>
      </c>
      <c r="O31" s="33">
        <f t="shared" si="6"/>
        <v>-4182.5</v>
      </c>
      <c r="P31" s="33">
        <f t="shared" si="6"/>
        <v>-4182.5</v>
      </c>
      <c r="Q31" s="33">
        <f t="shared" si="6"/>
        <v>-4182.5</v>
      </c>
      <c r="R31" s="33">
        <f t="shared" si="6"/>
        <v>-4182.5</v>
      </c>
      <c r="S31" s="33">
        <f t="shared" si="6"/>
        <v>-4182.5</v>
      </c>
      <c r="T31" s="33">
        <f t="shared" si="6"/>
        <v>-4182.5</v>
      </c>
      <c r="U31" s="33">
        <f t="shared" si="6"/>
        <v>-4182.5</v>
      </c>
      <c r="V31" s="33">
        <f t="shared" si="6"/>
        <v>-4182.5</v>
      </c>
      <c r="W31" s="33">
        <f t="shared" si="6"/>
        <v>-4182.5</v>
      </c>
      <c r="X31" s="33">
        <f t="shared" si="6"/>
        <v>-4182.5</v>
      </c>
      <c r="Y31" s="33">
        <f t="shared" si="6"/>
        <v>-4182.5</v>
      </c>
    </row>
    <row r="33" spans="1:25" x14ac:dyDescent="0.25">
      <c r="C33" t="s">
        <v>158</v>
      </c>
      <c r="E33" s="3">
        <f>+FinaIndikatori!E31</f>
        <v>-35500</v>
      </c>
      <c r="F33" s="3">
        <f>+F31-F29-F36</f>
        <v>-5042.9203300802246</v>
      </c>
      <c r="G33" s="3">
        <f t="shared" ref="G33:Y33" si="7">+G31-G29-G36</f>
        <v>-5072.9210785481901</v>
      </c>
      <c r="H33" s="3">
        <f t="shared" si="7"/>
        <v>-5106.5219168323119</v>
      </c>
      <c r="I33" s="3">
        <f t="shared" si="7"/>
        <v>-5144.154855710528</v>
      </c>
      <c r="J33" s="3">
        <f t="shared" si="7"/>
        <v>-5186.30374725413</v>
      </c>
      <c r="K33" s="3">
        <f t="shared" si="7"/>
        <v>-5233.5105057829633</v>
      </c>
      <c r="L33" s="3">
        <f t="shared" si="7"/>
        <v>-5286.3820753352575</v>
      </c>
      <c r="M33" s="3">
        <f t="shared" si="7"/>
        <v>-5345.5982332338272</v>
      </c>
      <c r="N33" s="3">
        <f t="shared" si="7"/>
        <v>-1285.2120818599192</v>
      </c>
      <c r="O33" s="3">
        <f t="shared" si="7"/>
        <v>-1285.2120818599192</v>
      </c>
      <c r="P33" s="3">
        <f t="shared" si="7"/>
        <v>-1285.2120818599192</v>
      </c>
      <c r="Q33" s="3">
        <f t="shared" si="7"/>
        <v>-1285.2120818599192</v>
      </c>
      <c r="R33" s="3">
        <f t="shared" si="7"/>
        <v>-1285.2120818599192</v>
      </c>
      <c r="S33" s="3">
        <f t="shared" si="7"/>
        <v>-1285.2120818599192</v>
      </c>
      <c r="T33" s="3">
        <f t="shared" si="7"/>
        <v>-1285.2120818599192</v>
      </c>
      <c r="U33" s="3">
        <f t="shared" si="7"/>
        <v>-1285.2120818599192</v>
      </c>
      <c r="V33" s="3">
        <f t="shared" si="7"/>
        <v>-1285.2120818599192</v>
      </c>
      <c r="W33" s="3">
        <f t="shared" si="7"/>
        <v>-1285.2120818599192</v>
      </c>
      <c r="X33" s="3">
        <f t="shared" si="7"/>
        <v>-1285.2120818599192</v>
      </c>
      <c r="Y33" s="3">
        <f t="shared" si="7"/>
        <v>-1285.2120818599192</v>
      </c>
    </row>
    <row r="34" spans="1:25" x14ac:dyDescent="0.25">
      <c r="A34" s="61" t="s">
        <v>159</v>
      </c>
      <c r="B34" s="61"/>
      <c r="C34" s="61"/>
      <c r="D34" s="61"/>
      <c r="F34" s="3">
        <f>+F21+F31-F25</f>
        <v>1891.4138790661273</v>
      </c>
      <c r="G34" s="3">
        <f>+G21+G31-G25</f>
        <v>2091.4188688525637</v>
      </c>
      <c r="H34" s="3">
        <f t="shared" ref="H34:Y34" si="8">+H21+H31-H25</f>
        <v>2315.4244574133727</v>
      </c>
      <c r="I34" s="3">
        <f t="shared" si="8"/>
        <v>2566.3107166014788</v>
      </c>
      <c r="J34" s="3">
        <f t="shared" si="8"/>
        <v>2847.3033268921581</v>
      </c>
      <c r="K34" s="3">
        <f t="shared" si="8"/>
        <v>3162.0150504177186</v>
      </c>
      <c r="L34" s="3">
        <f t="shared" si="8"/>
        <v>3514.4921807663463</v>
      </c>
      <c r="M34" s="3">
        <f t="shared" si="8"/>
        <v>3909.266566756809</v>
      </c>
      <c r="N34" s="3">
        <f t="shared" si="8"/>
        <v>4351.4138790661273</v>
      </c>
      <c r="O34" s="3">
        <f t="shared" si="8"/>
        <v>4351.4138790661273</v>
      </c>
      <c r="P34" s="3">
        <f t="shared" si="8"/>
        <v>4351.4138790661273</v>
      </c>
      <c r="Q34" s="3">
        <f t="shared" si="8"/>
        <v>4351.4138790661273</v>
      </c>
      <c r="R34" s="3">
        <f t="shared" si="8"/>
        <v>4351.4138790661273</v>
      </c>
      <c r="S34" s="3">
        <f t="shared" si="8"/>
        <v>4351.4138790661273</v>
      </c>
      <c r="T34" s="3">
        <f t="shared" si="8"/>
        <v>4351.4138790661273</v>
      </c>
      <c r="U34" s="3">
        <f t="shared" si="8"/>
        <v>4351.4138790661273</v>
      </c>
      <c r="V34" s="3">
        <f t="shared" si="8"/>
        <v>4351.4138790661273</v>
      </c>
      <c r="W34" s="3">
        <f t="shared" si="8"/>
        <v>4351.4138790661273</v>
      </c>
      <c r="X34" s="3">
        <f t="shared" si="8"/>
        <v>4351.4138790661273</v>
      </c>
      <c r="Y34" s="3">
        <f t="shared" si="8"/>
        <v>4351.4138790661273</v>
      </c>
    </row>
    <row r="35" spans="1:25" x14ac:dyDescent="0.25">
      <c r="A35" s="69"/>
      <c r="B35" s="69"/>
      <c r="C35" s="69"/>
      <c r="D35" s="69"/>
    </row>
    <row r="36" spans="1:25" x14ac:dyDescent="0.25">
      <c r="A36" s="68" t="s">
        <v>93</v>
      </c>
      <c r="B36" s="68"/>
      <c r="C36" s="68"/>
      <c r="D36" s="68"/>
      <c r="F36" s="3">
        <f>IF(F9&lt;&gt;"",IF(F34&gt;0,F34*VAT,0),"")</f>
        <v>283.71208185991907</v>
      </c>
      <c r="G36" s="3">
        <f t="shared" ref="G36:Y36" si="9">IF(G9&lt;&gt;"",IF(G34&gt;0,G34*VAT,0),"")</f>
        <v>313.71283032788455</v>
      </c>
      <c r="H36" s="3">
        <f t="shared" si="9"/>
        <v>347.31366861200587</v>
      </c>
      <c r="I36" s="3">
        <f t="shared" si="9"/>
        <v>384.94660749022182</v>
      </c>
      <c r="J36" s="3">
        <f t="shared" si="9"/>
        <v>427.09549903382373</v>
      </c>
      <c r="K36" s="3">
        <f t="shared" si="9"/>
        <v>474.30225756265776</v>
      </c>
      <c r="L36" s="3">
        <f t="shared" si="9"/>
        <v>527.17382711495191</v>
      </c>
      <c r="M36" s="3">
        <f t="shared" si="9"/>
        <v>586.38998501352137</v>
      </c>
      <c r="N36" s="3">
        <f t="shared" si="9"/>
        <v>652.71208185991907</v>
      </c>
      <c r="O36" s="3">
        <f t="shared" si="9"/>
        <v>652.71208185991907</v>
      </c>
      <c r="P36" s="3">
        <f t="shared" si="9"/>
        <v>652.71208185991907</v>
      </c>
      <c r="Q36" s="3">
        <f t="shared" si="9"/>
        <v>652.71208185991907</v>
      </c>
      <c r="R36" s="3">
        <f t="shared" si="9"/>
        <v>652.71208185991907</v>
      </c>
      <c r="S36" s="3">
        <f t="shared" si="9"/>
        <v>652.71208185991907</v>
      </c>
      <c r="T36" s="3">
        <f t="shared" si="9"/>
        <v>652.71208185991907</v>
      </c>
      <c r="U36" s="3">
        <f t="shared" si="9"/>
        <v>652.71208185991907</v>
      </c>
      <c r="V36" s="3">
        <f t="shared" si="9"/>
        <v>652.71208185991907</v>
      </c>
      <c r="W36" s="3">
        <f t="shared" si="9"/>
        <v>652.71208185991907</v>
      </c>
      <c r="X36" s="3">
        <f t="shared" si="9"/>
        <v>652.71208185991907</v>
      </c>
      <c r="Y36" s="3">
        <f t="shared" si="9"/>
        <v>652.71208185991907</v>
      </c>
    </row>
    <row r="37" spans="1:25" x14ac:dyDescent="0.25">
      <c r="A37" s="61" t="s">
        <v>94</v>
      </c>
      <c r="B37" s="61"/>
      <c r="C37" s="61"/>
      <c r="D37" s="61"/>
      <c r="E37" s="3"/>
      <c r="F37" s="3">
        <f>IF(F9&lt;&gt;"",F34-F36,"")</f>
        <v>1607.7017972062081</v>
      </c>
      <c r="G37" s="3">
        <f t="shared" ref="G37:Y37" si="10">IF(G9&lt;&gt;"",G34-G36,"")</f>
        <v>1777.7060385246791</v>
      </c>
      <c r="H37" s="3">
        <f t="shared" si="10"/>
        <v>1968.1107888013669</v>
      </c>
      <c r="I37" s="3">
        <f t="shared" si="10"/>
        <v>2181.3641091112568</v>
      </c>
      <c r="J37" s="3">
        <f t="shared" si="10"/>
        <v>2420.2078278583344</v>
      </c>
      <c r="K37" s="3">
        <f t="shared" si="10"/>
        <v>2687.7127928550608</v>
      </c>
      <c r="L37" s="3">
        <f t="shared" si="10"/>
        <v>2987.3183536513943</v>
      </c>
      <c r="M37" s="3">
        <f t="shared" si="10"/>
        <v>3322.8765817432877</v>
      </c>
      <c r="N37" s="3">
        <f t="shared" si="10"/>
        <v>3698.7017972062081</v>
      </c>
      <c r="O37" s="3">
        <f t="shared" si="10"/>
        <v>3698.7017972062081</v>
      </c>
      <c r="P37" s="3">
        <f t="shared" si="10"/>
        <v>3698.7017972062081</v>
      </c>
      <c r="Q37" s="3">
        <f t="shared" si="10"/>
        <v>3698.7017972062081</v>
      </c>
      <c r="R37" s="3">
        <f t="shared" si="10"/>
        <v>3698.7017972062081</v>
      </c>
      <c r="S37" s="3">
        <f t="shared" si="10"/>
        <v>3698.7017972062081</v>
      </c>
      <c r="T37" s="3">
        <f t="shared" si="10"/>
        <v>3698.7017972062081</v>
      </c>
      <c r="U37" s="3">
        <f t="shared" si="10"/>
        <v>3698.7017972062081</v>
      </c>
      <c r="V37" s="3">
        <f t="shared" si="10"/>
        <v>3698.7017972062081</v>
      </c>
      <c r="W37" s="3">
        <f t="shared" si="10"/>
        <v>3698.7017972062081</v>
      </c>
      <c r="X37" s="3">
        <f t="shared" si="10"/>
        <v>3698.7017972062081</v>
      </c>
      <c r="Y37" s="3">
        <f t="shared" si="10"/>
        <v>3698.7017972062081</v>
      </c>
    </row>
    <row r="39" spans="1:25" x14ac:dyDescent="0.25">
      <c r="A39" s="34" t="s">
        <v>160</v>
      </c>
      <c r="E39" s="3">
        <f>+E21+E33</f>
        <v>-35500</v>
      </c>
      <c r="F39" s="3">
        <f>+F21+F33</f>
        <v>3490.9935489859026</v>
      </c>
      <c r="G39" s="3">
        <f t="shared" ref="G39:Y39" si="11">+G21+G33</f>
        <v>3460.9928005179372</v>
      </c>
      <c r="H39" s="3">
        <f t="shared" si="11"/>
        <v>3427.3919622338153</v>
      </c>
      <c r="I39" s="3">
        <f t="shared" si="11"/>
        <v>3389.7590233555993</v>
      </c>
      <c r="J39" s="3">
        <f t="shared" si="11"/>
        <v>3347.6101318119972</v>
      </c>
      <c r="K39" s="3">
        <f t="shared" si="11"/>
        <v>3300.403373283164</v>
      </c>
      <c r="L39" s="3">
        <f t="shared" si="11"/>
        <v>3247.5318037308698</v>
      </c>
      <c r="M39" s="3">
        <f t="shared" si="11"/>
        <v>3188.3156458323001</v>
      </c>
      <c r="N39" s="3">
        <f t="shared" si="11"/>
        <v>7248.7017972062076</v>
      </c>
      <c r="O39" s="3">
        <f t="shared" si="11"/>
        <v>7248.7017972062076</v>
      </c>
      <c r="P39" s="3">
        <f t="shared" si="11"/>
        <v>7248.7017972062076</v>
      </c>
      <c r="Q39" s="3">
        <f t="shared" si="11"/>
        <v>7248.7017972062076</v>
      </c>
      <c r="R39" s="3">
        <f t="shared" si="11"/>
        <v>7248.7017972062076</v>
      </c>
      <c r="S39" s="3">
        <f t="shared" si="11"/>
        <v>7248.7017972062076</v>
      </c>
      <c r="T39" s="3">
        <f t="shared" si="11"/>
        <v>7248.7017972062076</v>
      </c>
      <c r="U39" s="3">
        <f t="shared" si="11"/>
        <v>7248.7017972062076</v>
      </c>
      <c r="V39" s="3">
        <f t="shared" si="11"/>
        <v>7248.7017972062076</v>
      </c>
      <c r="W39" s="3">
        <f t="shared" si="11"/>
        <v>7248.7017972062076</v>
      </c>
      <c r="X39" s="3">
        <f t="shared" si="11"/>
        <v>7248.7017972062076</v>
      </c>
      <c r="Y39" s="3">
        <f t="shared" si="11"/>
        <v>7248.7017972062076</v>
      </c>
    </row>
    <row r="40" spans="1:25" x14ac:dyDescent="0.25">
      <c r="A40" s="34" t="s">
        <v>161</v>
      </c>
      <c r="E40" s="3">
        <f>+E39</f>
        <v>-35500</v>
      </c>
      <c r="F40" s="3">
        <f>+E40+F39</f>
        <v>-32009.006451014098</v>
      </c>
      <c r="G40" s="3">
        <f t="shared" ref="G40:Y40" si="12">+F40+G39</f>
        <v>-28548.013650496163</v>
      </c>
      <c r="H40" s="3">
        <f t="shared" si="12"/>
        <v>-25120.621688262348</v>
      </c>
      <c r="I40" s="3">
        <f t="shared" si="12"/>
        <v>-21730.862664906748</v>
      </c>
      <c r="J40" s="3">
        <f t="shared" si="12"/>
        <v>-18383.25253309475</v>
      </c>
      <c r="K40" s="3">
        <f t="shared" si="12"/>
        <v>-15082.849159811587</v>
      </c>
      <c r="L40" s="3">
        <f t="shared" si="12"/>
        <v>-11835.317356080717</v>
      </c>
      <c r="M40" s="3">
        <f t="shared" si="12"/>
        <v>-8647.0017102484162</v>
      </c>
      <c r="N40" s="3">
        <f t="shared" si="12"/>
        <v>-1398.2999130422086</v>
      </c>
      <c r="O40" s="3">
        <f t="shared" si="12"/>
        <v>5850.4018841639991</v>
      </c>
      <c r="P40" s="3">
        <f t="shared" si="12"/>
        <v>13099.103681370207</v>
      </c>
      <c r="Q40" s="3">
        <f t="shared" si="12"/>
        <v>20347.805478576414</v>
      </c>
      <c r="R40" s="3">
        <f t="shared" si="12"/>
        <v>27596.50727578262</v>
      </c>
      <c r="S40" s="3">
        <f t="shared" si="12"/>
        <v>34845.20907298883</v>
      </c>
      <c r="T40" s="3">
        <f t="shared" si="12"/>
        <v>42093.910870195039</v>
      </c>
      <c r="U40" s="3">
        <f t="shared" si="12"/>
        <v>49342.612667401248</v>
      </c>
      <c r="V40" s="3">
        <f t="shared" si="12"/>
        <v>56591.314464607458</v>
      </c>
      <c r="W40" s="3">
        <f t="shared" si="12"/>
        <v>63840.016261813667</v>
      </c>
      <c r="X40" s="3">
        <f t="shared" si="12"/>
        <v>71088.71805901987</v>
      </c>
      <c r="Y40" s="3">
        <f t="shared" si="12"/>
        <v>78337.419856226072</v>
      </c>
    </row>
    <row r="41" spans="1:25" x14ac:dyDescent="0.25">
      <c r="A41" s="18"/>
    </row>
    <row r="42" spans="1:25" x14ac:dyDescent="0.25">
      <c r="A42" s="34" t="s">
        <v>62</v>
      </c>
      <c r="E42" s="7">
        <f>+FinaIndikatori!E40</f>
        <v>7.7507042253521133E-2</v>
      </c>
    </row>
    <row r="43" spans="1:25" x14ac:dyDescent="0.25">
      <c r="A43" s="34" t="s">
        <v>162</v>
      </c>
      <c r="E43" s="3">
        <f>IF(E9&lt;&gt;"",E39*(1+$E$42)^-E9,"")</f>
        <v>-35500</v>
      </c>
      <c r="F43" s="3">
        <f>IF(F9&lt;&gt;"",F39*(1+$E$42)^-F9,"")</f>
        <v>3239.8800305608811</v>
      </c>
      <c r="G43" s="3">
        <f t="shared" ref="G43:Y43" si="13">IF(G9&lt;&gt;"",G39*(1+$E$42)^-G9,"")</f>
        <v>2980.9896033754653</v>
      </c>
      <c r="H43" s="3">
        <f t="shared" si="13"/>
        <v>2739.7026016532554</v>
      </c>
      <c r="I43" s="3">
        <f t="shared" si="13"/>
        <v>2514.7125919723085</v>
      </c>
      <c r="J43" s="3">
        <f t="shared" si="13"/>
        <v>2304.8055302150733</v>
      </c>
      <c r="K43" s="3">
        <f t="shared" si="13"/>
        <v>2108.8530533377238</v>
      </c>
      <c r="L43" s="3">
        <f t="shared" si="13"/>
        <v>1925.8062512099566</v>
      </c>
      <c r="M43" s="3">
        <f t="shared" si="13"/>
        <v>1754.689883895722</v>
      </c>
      <c r="N43" s="3">
        <f t="shared" si="13"/>
        <v>3702.3645459304958</v>
      </c>
      <c r="O43" s="3">
        <f t="shared" si="13"/>
        <v>3436.0467270703798</v>
      </c>
      <c r="P43" s="3">
        <f t="shared" si="13"/>
        <v>3188.8856335306714</v>
      </c>
      <c r="Q43" s="3">
        <f t="shared" si="13"/>
        <v>2959.5032872002098</v>
      </c>
      <c r="R43" s="3">
        <f t="shared" si="13"/>
        <v>2746.6208304408315</v>
      </c>
      <c r="S43" s="3">
        <f t="shared" si="13"/>
        <v>2549.0513961713796</v>
      </c>
      <c r="T43" s="3">
        <f t="shared" si="13"/>
        <v>2365.693490819549</v>
      </c>
      <c r="U43" s="3">
        <f t="shared" si="13"/>
        <v>2195.5248532500423</v>
      </c>
      <c r="V43" s="3">
        <f t="shared" si="13"/>
        <v>2037.5967554311985</v>
      </c>
      <c r="W43" s="3">
        <f t="shared" si="13"/>
        <v>1891.0287130650445</v>
      </c>
      <c r="X43" s="3">
        <f t="shared" si="13"/>
        <v>1755.0035766913477</v>
      </c>
      <c r="Y43" s="3">
        <f t="shared" si="13"/>
        <v>1628.7629758974899</v>
      </c>
    </row>
    <row r="44" spans="1:25" x14ac:dyDescent="0.25">
      <c r="A44" s="34" t="s">
        <v>163</v>
      </c>
      <c r="E44" s="3">
        <f>+E43</f>
        <v>-35500</v>
      </c>
      <c r="F44" s="3">
        <f>+E44+F43</f>
        <v>-32260.119969439118</v>
      </c>
      <c r="G44" s="3">
        <f t="shared" ref="G44:Y44" si="14">+F44+G43</f>
        <v>-29279.130366063651</v>
      </c>
      <c r="H44" s="3">
        <f t="shared" si="14"/>
        <v>-26539.427764410397</v>
      </c>
      <c r="I44" s="3">
        <f t="shared" si="14"/>
        <v>-24024.715172438089</v>
      </c>
      <c r="J44" s="3">
        <f t="shared" si="14"/>
        <v>-21719.909642223014</v>
      </c>
      <c r="K44" s="3">
        <f t="shared" si="14"/>
        <v>-19611.056588885291</v>
      </c>
      <c r="L44" s="3">
        <f t="shared" si="14"/>
        <v>-17685.250337675334</v>
      </c>
      <c r="M44" s="3">
        <f t="shared" si="14"/>
        <v>-15930.560453779612</v>
      </c>
      <c r="N44" s="3">
        <f t="shared" si="14"/>
        <v>-12228.195907849116</v>
      </c>
      <c r="O44" s="3">
        <f t="shared" si="14"/>
        <v>-8792.149180778737</v>
      </c>
      <c r="P44" s="3">
        <f t="shared" si="14"/>
        <v>-5603.2635472480652</v>
      </c>
      <c r="Q44" s="3">
        <f t="shared" si="14"/>
        <v>-2643.7602600478554</v>
      </c>
      <c r="R44" s="3">
        <f t="shared" si="14"/>
        <v>102.86057039297611</v>
      </c>
      <c r="S44" s="3">
        <f t="shared" si="14"/>
        <v>2651.9119665643557</v>
      </c>
      <c r="T44" s="3">
        <f t="shared" si="14"/>
        <v>5017.6054573839046</v>
      </c>
      <c r="U44" s="3">
        <f t="shared" si="14"/>
        <v>7213.1303106339474</v>
      </c>
      <c r="V44" s="3">
        <f t="shared" si="14"/>
        <v>9250.7270660651466</v>
      </c>
      <c r="W44" s="3">
        <f t="shared" si="14"/>
        <v>11141.755779130192</v>
      </c>
      <c r="X44" s="3">
        <f t="shared" si="14"/>
        <v>12896.759355821539</v>
      </c>
      <c r="Y44" s="3">
        <f t="shared" si="14"/>
        <v>14525.522331719028</v>
      </c>
    </row>
    <row r="45" spans="1:25" x14ac:dyDescent="0.25">
      <c r="A45" s="34"/>
    </row>
    <row r="46" spans="1:25" x14ac:dyDescent="0.25">
      <c r="A46" s="35" t="s">
        <v>164</v>
      </c>
      <c r="B46" s="36"/>
      <c r="C46" s="36"/>
      <c r="D46" s="36"/>
      <c r="E46" s="37">
        <f>+NPV(E42,E39:Y39)</f>
        <v>13480.675078781887</v>
      </c>
      <c r="F46" s="36"/>
    </row>
    <row r="47" spans="1:25" x14ac:dyDescent="0.25">
      <c r="A47" s="35" t="s">
        <v>165</v>
      </c>
      <c r="B47" s="36"/>
      <c r="C47" s="36"/>
      <c r="D47" s="36"/>
      <c r="E47" s="38">
        <f>+IRR(E39:Y39,10)</f>
        <v>0.11793547419407124</v>
      </c>
      <c r="F47" s="36"/>
    </row>
    <row r="48" spans="1:25" x14ac:dyDescent="0.25">
      <c r="A48" s="35" t="s">
        <v>166</v>
      </c>
      <c r="B48" s="36"/>
      <c r="C48" s="36"/>
      <c r="D48" s="36"/>
      <c r="E48" s="39">
        <f>+NPV(E42,F21:Y21)/-NPV(E42,E33:Y33)</f>
        <v>1.2984490066745815</v>
      </c>
      <c r="F48" s="36"/>
    </row>
    <row r="49" spans="1:26" x14ac:dyDescent="0.25">
      <c r="A49" s="35" t="s">
        <v>167</v>
      </c>
      <c r="B49" s="36"/>
      <c r="C49" s="36"/>
      <c r="D49" s="36"/>
      <c r="E49" s="36" cm="1">
        <f t="array" ref="E49">+LOOKUP(INDEX(E40:Y40,MATCH(TRUE,E40:Y40&gt;0,0)),E40:Y40,E9:Y9)</f>
        <v>10</v>
      </c>
      <c r="F49" s="36" t="s">
        <v>169</v>
      </c>
    </row>
    <row r="50" spans="1:26" x14ac:dyDescent="0.25">
      <c r="A50" s="35" t="s">
        <v>168</v>
      </c>
      <c r="B50" s="36"/>
      <c r="C50" s="36"/>
      <c r="D50" s="36"/>
      <c r="E50" s="36" cm="1">
        <f t="array" ref="E50">+LOOKUP(INDEX(E44:Y44,MATCH(TRUE,E44:Y44&gt;0,0)),E44:Y44,E9:Y9)</f>
        <v>13</v>
      </c>
      <c r="F50" s="36" t="s">
        <v>169</v>
      </c>
    </row>
    <row r="52" spans="1:26" x14ac:dyDescent="0.25">
      <c r="A52" s="68" t="s">
        <v>170</v>
      </c>
      <c r="B52" s="68"/>
      <c r="C52" s="68"/>
      <c r="D52" s="68"/>
      <c r="E52" s="3">
        <f>IF(E9&lt;&gt;"",E33,"")</f>
        <v>-35500</v>
      </c>
      <c r="F52" s="3">
        <f>IF(F9&lt;&gt;"",F33,"")</f>
        <v>-5042.9203300802246</v>
      </c>
      <c r="G52" s="3">
        <f t="shared" ref="G52:Y52" si="15">IF(G9&lt;&gt;"",G33,"")</f>
        <v>-5072.9210785481901</v>
      </c>
      <c r="H52" s="3">
        <f t="shared" si="15"/>
        <v>-5106.5219168323119</v>
      </c>
      <c r="I52" s="3">
        <f t="shared" si="15"/>
        <v>-5144.154855710528</v>
      </c>
      <c r="J52" s="3">
        <f t="shared" si="15"/>
        <v>-5186.30374725413</v>
      </c>
      <c r="K52" s="3">
        <f t="shared" si="15"/>
        <v>-5233.5105057829633</v>
      </c>
      <c r="L52" s="3">
        <f t="shared" si="15"/>
        <v>-5286.3820753352575</v>
      </c>
      <c r="M52" s="3">
        <f t="shared" si="15"/>
        <v>-5345.5982332338272</v>
      </c>
      <c r="N52" s="3">
        <f t="shared" si="15"/>
        <v>-1285.2120818599192</v>
      </c>
      <c r="O52" s="3">
        <f t="shared" si="15"/>
        <v>-1285.2120818599192</v>
      </c>
      <c r="P52" s="3">
        <f t="shared" si="15"/>
        <v>-1285.2120818599192</v>
      </c>
      <c r="Q52" s="3">
        <f t="shared" si="15"/>
        <v>-1285.2120818599192</v>
      </c>
      <c r="R52" s="3">
        <f t="shared" si="15"/>
        <v>-1285.2120818599192</v>
      </c>
      <c r="S52" s="3">
        <f t="shared" si="15"/>
        <v>-1285.2120818599192</v>
      </c>
      <c r="T52" s="3">
        <f t="shared" si="15"/>
        <v>-1285.2120818599192</v>
      </c>
      <c r="U52" s="3">
        <f t="shared" si="15"/>
        <v>-1285.2120818599192</v>
      </c>
      <c r="V52" s="3">
        <f t="shared" si="15"/>
        <v>-1285.2120818599192</v>
      </c>
      <c r="W52" s="3">
        <f t="shared" si="15"/>
        <v>-1285.2120818599192</v>
      </c>
      <c r="X52" s="3">
        <f t="shared" si="15"/>
        <v>-1285.2120818599192</v>
      </c>
      <c r="Y52" s="3">
        <f t="shared" si="15"/>
        <v>-1285.2120818599192</v>
      </c>
      <c r="Z52" s="3"/>
    </row>
    <row r="53" spans="1:26" x14ac:dyDescent="0.25">
      <c r="A53" s="68" t="s">
        <v>171</v>
      </c>
      <c r="B53" s="68"/>
      <c r="C53" s="68"/>
      <c r="D53" s="68"/>
      <c r="E53" s="3">
        <f t="shared" ref="E53:Y53" si="16">IF(E9&lt;&gt;"",E52*(1+KamSptv)^-E9,"")</f>
        <v>-35500</v>
      </c>
      <c r="F53" s="3">
        <f t="shared" si="16"/>
        <v>-4680.173894300824</v>
      </c>
      <c r="G53" s="3">
        <f t="shared" si="16"/>
        <v>-4369.3604308085678</v>
      </c>
      <c r="H53" s="3">
        <f t="shared" si="16"/>
        <v>-4081.9233793810354</v>
      </c>
      <c r="I53" s="3">
        <f t="shared" si="16"/>
        <v>-3816.2214191571202</v>
      </c>
      <c r="J53" s="3">
        <f t="shared" si="16"/>
        <v>-3570.7328773008335</v>
      </c>
      <c r="K53" s="3">
        <f t="shared" si="16"/>
        <v>-3344.0471850010267</v>
      </c>
      <c r="L53" s="3">
        <f t="shared" si="16"/>
        <v>-3134.856950521365</v>
      </c>
      <c r="M53" s="3">
        <f t="shared" si="16"/>
        <v>-2941.9506050122136</v>
      </c>
      <c r="N53" s="3">
        <f t="shared" si="16"/>
        <v>-656.43804628763166</v>
      </c>
      <c r="O53" s="3">
        <f t="shared" si="16"/>
        <v>-609.21926311937909</v>
      </c>
      <c r="P53" s="3">
        <f t="shared" si="16"/>
        <v>-565.39701294688984</v>
      </c>
      <c r="Q53" s="3">
        <f t="shared" si="16"/>
        <v>-524.72697697121907</v>
      </c>
      <c r="R53" s="3">
        <f t="shared" si="16"/>
        <v>-486.98241068920902</v>
      </c>
      <c r="S53" s="3">
        <f t="shared" si="16"/>
        <v>-451.9528797424133</v>
      </c>
      <c r="T53" s="3">
        <f t="shared" si="16"/>
        <v>-419.44308669870912</v>
      </c>
      <c r="U53" s="3">
        <f t="shared" si="16"/>
        <v>-389.27178222564277</v>
      </c>
      <c r="V53" s="3">
        <f t="shared" si="16"/>
        <v>-361.27075458505726</v>
      </c>
      <c r="W53" s="3">
        <f t="shared" si="16"/>
        <v>-335.28389181521072</v>
      </c>
      <c r="X53" s="3">
        <f t="shared" si="16"/>
        <v>-311.16631137184112</v>
      </c>
      <c r="Y53" s="3">
        <f t="shared" si="16"/>
        <v>-288.78355237573322</v>
      </c>
      <c r="Z53" s="3"/>
    </row>
    <row r="54" spans="1:26" x14ac:dyDescent="0.25">
      <c r="A54" s="68" t="s">
        <v>172</v>
      </c>
      <c r="B54" s="68"/>
      <c r="C54" s="68"/>
      <c r="D54" s="68"/>
      <c r="E54" s="3">
        <f>+E53</f>
        <v>-35500</v>
      </c>
      <c r="F54" s="3">
        <f>+E54+F53</f>
        <v>-40180.173894300824</v>
      </c>
      <c r="G54" s="3">
        <f t="shared" ref="G54:Y54" si="17">IF(G9&lt;&gt;"",F54+G53,"")</f>
        <v>-44549.534325109395</v>
      </c>
      <c r="H54" s="3">
        <f t="shared" si="17"/>
        <v>-48631.457704490429</v>
      </c>
      <c r="I54" s="3">
        <f t="shared" si="17"/>
        <v>-52447.679123647547</v>
      </c>
      <c r="J54" s="3">
        <f t="shared" si="17"/>
        <v>-56018.412000948381</v>
      </c>
      <c r="K54" s="3">
        <f t="shared" si="17"/>
        <v>-59362.45918594941</v>
      </c>
      <c r="L54" s="3">
        <f t="shared" si="17"/>
        <v>-62497.316136470778</v>
      </c>
      <c r="M54" s="3">
        <f t="shared" si="17"/>
        <v>-65439.266741482992</v>
      </c>
      <c r="N54" s="3">
        <f t="shared" si="17"/>
        <v>-66095.704787770621</v>
      </c>
      <c r="O54" s="3">
        <f t="shared" si="17"/>
        <v>-66704.924050889997</v>
      </c>
      <c r="P54" s="3">
        <f t="shared" si="17"/>
        <v>-67270.321063836891</v>
      </c>
      <c r="Q54" s="3">
        <f t="shared" si="17"/>
        <v>-67795.048040808106</v>
      </c>
      <c r="R54" s="3">
        <f t="shared" si="17"/>
        <v>-68282.03045149731</v>
      </c>
      <c r="S54" s="3">
        <f t="shared" si="17"/>
        <v>-68733.983331239724</v>
      </c>
      <c r="T54" s="3">
        <f t="shared" si="17"/>
        <v>-69153.426417938434</v>
      </c>
      <c r="U54" s="3">
        <f t="shared" si="17"/>
        <v>-69542.698200164072</v>
      </c>
      <c r="V54" s="3">
        <f t="shared" si="17"/>
        <v>-69903.968954749129</v>
      </c>
      <c r="W54" s="3">
        <f t="shared" si="17"/>
        <v>-70239.252846564341</v>
      </c>
      <c r="X54" s="3">
        <f t="shared" si="17"/>
        <v>-70550.41915793618</v>
      </c>
      <c r="Y54" s="3">
        <f t="shared" si="17"/>
        <v>-70839.202710311918</v>
      </c>
    </row>
    <row r="55" spans="1:26" x14ac:dyDescent="0.25">
      <c r="A55" s="68" t="s">
        <v>173</v>
      </c>
      <c r="B55" s="68"/>
      <c r="C55" s="68"/>
      <c r="D55" s="68"/>
      <c r="F55" s="3">
        <f t="shared" ref="F55:Y55" si="18">IF(F9&lt;&gt;"",F21,"")</f>
        <v>8533.9138790661273</v>
      </c>
      <c r="G55" s="3">
        <f t="shared" si="18"/>
        <v>8533.9138790661273</v>
      </c>
      <c r="H55" s="3">
        <f t="shared" si="18"/>
        <v>8533.9138790661273</v>
      </c>
      <c r="I55" s="3">
        <f t="shared" si="18"/>
        <v>8533.9138790661273</v>
      </c>
      <c r="J55" s="3">
        <f t="shared" si="18"/>
        <v>8533.9138790661273</v>
      </c>
      <c r="K55" s="3">
        <f t="shared" si="18"/>
        <v>8533.9138790661273</v>
      </c>
      <c r="L55" s="3">
        <f t="shared" si="18"/>
        <v>8533.9138790661273</v>
      </c>
      <c r="M55" s="3">
        <f t="shared" si="18"/>
        <v>8533.9138790661273</v>
      </c>
      <c r="N55" s="3">
        <f t="shared" si="18"/>
        <v>8533.9138790661273</v>
      </c>
      <c r="O55" s="3">
        <f t="shared" si="18"/>
        <v>8533.9138790661273</v>
      </c>
      <c r="P55" s="3">
        <f t="shared" si="18"/>
        <v>8533.9138790661273</v>
      </c>
      <c r="Q55" s="3">
        <f t="shared" si="18"/>
        <v>8533.9138790661273</v>
      </c>
      <c r="R55" s="3">
        <f t="shared" si="18"/>
        <v>8533.9138790661273</v>
      </c>
      <c r="S55" s="3">
        <f t="shared" si="18"/>
        <v>8533.9138790661273</v>
      </c>
      <c r="T55" s="3">
        <f t="shared" si="18"/>
        <v>8533.9138790661273</v>
      </c>
      <c r="U55" s="3">
        <f t="shared" si="18"/>
        <v>8533.9138790661273</v>
      </c>
      <c r="V55" s="3">
        <f t="shared" si="18"/>
        <v>8533.9138790661273</v>
      </c>
      <c r="W55" s="3">
        <f t="shared" si="18"/>
        <v>8533.9138790661273</v>
      </c>
      <c r="X55" s="3">
        <f t="shared" si="18"/>
        <v>8533.9138790661273</v>
      </c>
      <c r="Y55" s="3">
        <f t="shared" si="18"/>
        <v>8533.9138790661273</v>
      </c>
    </row>
    <row r="56" spans="1:26" x14ac:dyDescent="0.25">
      <c r="A56" s="68" t="s">
        <v>174</v>
      </c>
      <c r="B56" s="68"/>
      <c r="C56" s="68"/>
      <c r="D56" s="68"/>
      <c r="F56" s="3">
        <f t="shared" ref="F56:Y56" si="19">IF(F9&lt;&gt;"",F55*(1+KamSptv)^-F9,"")</f>
        <v>7920.0539248617051</v>
      </c>
      <c r="G56" s="3">
        <f t="shared" si="19"/>
        <v>7350.3500341840336</v>
      </c>
      <c r="H56" s="3">
        <f t="shared" si="19"/>
        <v>6821.6259810342908</v>
      </c>
      <c r="I56" s="3">
        <f t="shared" si="19"/>
        <v>6330.9340111294287</v>
      </c>
      <c r="J56" s="3">
        <f t="shared" si="19"/>
        <v>5875.5384075159072</v>
      </c>
      <c r="K56" s="3">
        <f t="shared" si="19"/>
        <v>5452.9002383387506</v>
      </c>
      <c r="L56" s="3">
        <f t="shared" si="19"/>
        <v>5060.6632017313214</v>
      </c>
      <c r="M56" s="3">
        <f t="shared" si="19"/>
        <v>4696.6404889079358</v>
      </c>
      <c r="N56" s="3">
        <f t="shared" si="19"/>
        <v>4358.8025922181278</v>
      </c>
      <c r="O56" s="3">
        <f t="shared" si="19"/>
        <v>4045.2659901897591</v>
      </c>
      <c r="P56" s="3">
        <f t="shared" si="19"/>
        <v>3754.2826464775612</v>
      </c>
      <c r="Q56" s="3">
        <f t="shared" si="19"/>
        <v>3484.2302641714291</v>
      </c>
      <c r="R56" s="3">
        <f t="shared" si="19"/>
        <v>3233.6032411300403</v>
      </c>
      <c r="S56" s="3">
        <f t="shared" si="19"/>
        <v>3001.0042759137932</v>
      </c>
      <c r="T56" s="3">
        <f t="shared" si="19"/>
        <v>2785.136577518258</v>
      </c>
      <c r="U56" s="3">
        <f t="shared" si="19"/>
        <v>2584.796635475685</v>
      </c>
      <c r="V56" s="3">
        <f t="shared" si="19"/>
        <v>2398.8675100162559</v>
      </c>
      <c r="W56" s="3">
        <f t="shared" si="19"/>
        <v>2226.3126048802551</v>
      </c>
      <c r="X56" s="3">
        <f t="shared" si="19"/>
        <v>2066.1698880631889</v>
      </c>
      <c r="Y56" s="3">
        <f t="shared" si="19"/>
        <v>1917.5465282732232</v>
      </c>
    </row>
    <row r="57" spans="1:26" x14ac:dyDescent="0.25">
      <c r="A57" s="68" t="s">
        <v>175</v>
      </c>
      <c r="B57" s="68"/>
      <c r="C57" s="68"/>
      <c r="D57" s="68"/>
      <c r="F57" s="3">
        <f>+E57+F56</f>
        <v>7920.0539248617051</v>
      </c>
      <c r="G57" s="3">
        <f t="shared" ref="G57:Y57" si="20">IF(G9&lt;&gt;"",F57+G56,"")</f>
        <v>15270.40395904574</v>
      </c>
      <c r="H57" s="3">
        <f t="shared" si="20"/>
        <v>22092.029940080029</v>
      </c>
      <c r="I57" s="3">
        <f t="shared" si="20"/>
        <v>28422.963951209458</v>
      </c>
      <c r="J57" s="3">
        <f t="shared" si="20"/>
        <v>34298.502358725367</v>
      </c>
      <c r="K57" s="3">
        <f t="shared" si="20"/>
        <v>39751.402597064116</v>
      </c>
      <c r="L57" s="3">
        <f t="shared" si="20"/>
        <v>44812.06579879544</v>
      </c>
      <c r="M57" s="3">
        <f t="shared" si="20"/>
        <v>49508.706287703375</v>
      </c>
      <c r="N57" s="3">
        <f t="shared" si="20"/>
        <v>53867.508879921501</v>
      </c>
      <c r="O57" s="3">
        <f t="shared" si="20"/>
        <v>57912.774870111258</v>
      </c>
      <c r="P57" s="3">
        <f t="shared" si="20"/>
        <v>61667.057516588822</v>
      </c>
      <c r="Q57" s="3">
        <f t="shared" si="20"/>
        <v>65151.287780760249</v>
      </c>
      <c r="R57" s="3">
        <f t="shared" si="20"/>
        <v>68384.891021890289</v>
      </c>
      <c r="S57" s="3">
        <f t="shared" si="20"/>
        <v>71385.895297804076</v>
      </c>
      <c r="T57" s="3">
        <f t="shared" si="20"/>
        <v>74171.03187532234</v>
      </c>
      <c r="U57" s="3">
        <f t="shared" si="20"/>
        <v>76755.828510798019</v>
      </c>
      <c r="V57" s="3">
        <f t="shared" si="20"/>
        <v>79154.69602081427</v>
      </c>
      <c r="W57" s="3">
        <f t="shared" si="20"/>
        <v>81381.008625694521</v>
      </c>
      <c r="X57" s="3">
        <f t="shared" si="20"/>
        <v>83447.17851375771</v>
      </c>
      <c r="Y57" s="3">
        <f t="shared" si="20"/>
        <v>85364.725042030928</v>
      </c>
    </row>
    <row r="58" spans="1:26" x14ac:dyDescent="0.25">
      <c r="A58" s="68" t="s">
        <v>176</v>
      </c>
      <c r="B58" s="68"/>
      <c r="C58" s="68"/>
      <c r="D58" s="68"/>
      <c r="F58" s="3">
        <f t="shared" ref="F58:Y58" si="21">IF(F9&lt;&gt;"",F57+F54,"")</f>
        <v>-32260.119969439118</v>
      </c>
      <c r="G58" s="3">
        <f t="shared" si="21"/>
        <v>-29279.130366063655</v>
      </c>
      <c r="H58" s="3">
        <f t="shared" si="21"/>
        <v>-26539.4277644104</v>
      </c>
      <c r="I58" s="3">
        <f t="shared" si="21"/>
        <v>-24024.715172438089</v>
      </c>
      <c r="J58" s="3">
        <f t="shared" si="21"/>
        <v>-21719.909642223014</v>
      </c>
      <c r="K58" s="3">
        <f t="shared" si="21"/>
        <v>-19611.056588885294</v>
      </c>
      <c r="L58" s="3">
        <f t="shared" si="21"/>
        <v>-17685.250337675338</v>
      </c>
      <c r="M58" s="3">
        <f t="shared" si="21"/>
        <v>-15930.560453779617</v>
      </c>
      <c r="N58" s="3">
        <f t="shared" si="21"/>
        <v>-12228.19590784912</v>
      </c>
      <c r="O58" s="3">
        <f t="shared" si="21"/>
        <v>-8792.1491807787388</v>
      </c>
      <c r="P58" s="3">
        <f t="shared" si="21"/>
        <v>-5603.2635472480688</v>
      </c>
      <c r="Q58" s="3">
        <f t="shared" si="21"/>
        <v>-2643.7602600478567</v>
      </c>
      <c r="R58" s="3">
        <f t="shared" si="21"/>
        <v>102.86057039297884</v>
      </c>
      <c r="S58" s="3">
        <f t="shared" si="21"/>
        <v>2651.911966564352</v>
      </c>
      <c r="T58" s="3">
        <f t="shared" si="21"/>
        <v>5017.6054573839065</v>
      </c>
      <c r="U58" s="3">
        <f t="shared" si="21"/>
        <v>7213.1303106339474</v>
      </c>
      <c r="V58" s="3">
        <f t="shared" si="21"/>
        <v>9250.7270660651411</v>
      </c>
      <c r="W58" s="3">
        <f t="shared" si="21"/>
        <v>11141.755779130181</v>
      </c>
      <c r="X58" s="3">
        <f t="shared" si="21"/>
        <v>12896.75935582153</v>
      </c>
      <c r="Y58" s="3">
        <f t="shared" si="21"/>
        <v>14525.52233171901</v>
      </c>
    </row>
    <row r="59" spans="1:26" x14ac:dyDescent="0.25">
      <c r="A59" s="40" t="s">
        <v>177</v>
      </c>
      <c r="B59" s="40"/>
      <c r="C59" s="40"/>
      <c r="D59" s="40"/>
      <c r="E59" s="36"/>
      <c r="F59" s="41">
        <f>-F52/70</f>
        <v>72.041719001146063</v>
      </c>
    </row>
    <row r="61" spans="1:26" x14ac:dyDescent="0.25">
      <c r="A61" s="68" t="s">
        <v>95</v>
      </c>
      <c r="B61" s="68"/>
      <c r="C61" s="68"/>
      <c r="D61" s="68"/>
      <c r="E61" s="3">
        <f t="shared" ref="E61:Y61" si="22">IF(E9="",D61,-E54)</f>
        <v>35500</v>
      </c>
      <c r="F61" s="3">
        <f t="shared" si="22"/>
        <v>40180.173894300824</v>
      </c>
      <c r="G61" s="3">
        <f t="shared" si="22"/>
        <v>44549.534325109395</v>
      </c>
      <c r="H61" s="3">
        <f t="shared" si="22"/>
        <v>48631.457704490429</v>
      </c>
      <c r="I61" s="3">
        <f t="shared" si="22"/>
        <v>52447.679123647547</v>
      </c>
      <c r="J61" s="3">
        <f t="shared" si="22"/>
        <v>56018.412000948381</v>
      </c>
      <c r="K61" s="3">
        <f t="shared" si="22"/>
        <v>59362.45918594941</v>
      </c>
      <c r="L61" s="3">
        <f t="shared" si="22"/>
        <v>62497.316136470778</v>
      </c>
      <c r="M61" s="3">
        <f t="shared" si="22"/>
        <v>65439.266741482992</v>
      </c>
      <c r="N61" s="3">
        <f t="shared" si="22"/>
        <v>66095.704787770621</v>
      </c>
      <c r="O61" s="3">
        <f t="shared" si="22"/>
        <v>66704.924050889997</v>
      </c>
      <c r="P61" s="3">
        <f t="shared" si="22"/>
        <v>67270.321063836891</v>
      </c>
      <c r="Q61" s="3">
        <f t="shared" si="22"/>
        <v>67795.048040808106</v>
      </c>
      <c r="R61" s="3">
        <f t="shared" si="22"/>
        <v>68282.03045149731</v>
      </c>
      <c r="S61" s="3">
        <f t="shared" si="22"/>
        <v>68733.983331239724</v>
      </c>
      <c r="T61" s="3">
        <f t="shared" si="22"/>
        <v>69153.426417938434</v>
      </c>
      <c r="U61" s="3">
        <f t="shared" si="22"/>
        <v>69542.698200164072</v>
      </c>
      <c r="V61" s="3">
        <f t="shared" si="22"/>
        <v>69903.968954749129</v>
      </c>
      <c r="W61" s="3">
        <f t="shared" si="22"/>
        <v>70239.252846564341</v>
      </c>
      <c r="X61" s="3">
        <f t="shared" si="22"/>
        <v>70550.41915793618</v>
      </c>
      <c r="Y61" s="3">
        <f t="shared" si="22"/>
        <v>70839.202710311918</v>
      </c>
    </row>
    <row r="62" spans="1:26" x14ac:dyDescent="0.25">
      <c r="A62" s="68" t="s">
        <v>96</v>
      </c>
      <c r="B62" s="68"/>
      <c r="C62" s="68"/>
      <c r="D62" s="68"/>
      <c r="F62" s="3">
        <f t="shared" ref="F62:Y62" si="23">IF(F9="",E62,F57)</f>
        <v>7920.0539248617051</v>
      </c>
      <c r="G62" s="3">
        <f t="shared" si="23"/>
        <v>15270.40395904574</v>
      </c>
      <c r="H62" s="3">
        <f t="shared" si="23"/>
        <v>22092.029940080029</v>
      </c>
      <c r="I62" s="3">
        <f t="shared" si="23"/>
        <v>28422.963951209458</v>
      </c>
      <c r="J62" s="3">
        <f t="shared" si="23"/>
        <v>34298.502358725367</v>
      </c>
      <c r="K62" s="3">
        <f t="shared" si="23"/>
        <v>39751.402597064116</v>
      </c>
      <c r="L62" s="3">
        <f t="shared" si="23"/>
        <v>44812.06579879544</v>
      </c>
      <c r="M62" s="3">
        <f t="shared" si="23"/>
        <v>49508.706287703375</v>
      </c>
      <c r="N62" s="3">
        <f t="shared" si="23"/>
        <v>53867.508879921501</v>
      </c>
      <c r="O62" s="3">
        <f t="shared" si="23"/>
        <v>57912.774870111258</v>
      </c>
      <c r="P62" s="3">
        <f t="shared" si="23"/>
        <v>61667.057516588822</v>
      </c>
      <c r="Q62" s="3">
        <f t="shared" si="23"/>
        <v>65151.287780760249</v>
      </c>
      <c r="R62" s="3">
        <f t="shared" si="23"/>
        <v>68384.891021890289</v>
      </c>
      <c r="S62" s="3">
        <f t="shared" si="23"/>
        <v>71385.895297804076</v>
      </c>
      <c r="T62" s="3">
        <f t="shared" si="23"/>
        <v>74171.03187532234</v>
      </c>
      <c r="U62" s="3">
        <f t="shared" si="23"/>
        <v>76755.828510798019</v>
      </c>
      <c r="V62" s="3">
        <f t="shared" si="23"/>
        <v>79154.69602081427</v>
      </c>
      <c r="W62" s="3">
        <f t="shared" si="23"/>
        <v>81381.008625694521</v>
      </c>
      <c r="X62" s="3">
        <f t="shared" si="23"/>
        <v>83447.17851375771</v>
      </c>
      <c r="Y62" s="3">
        <f t="shared" si="23"/>
        <v>85364.725042030928</v>
      </c>
    </row>
    <row r="64" spans="1:26" x14ac:dyDescent="0.25">
      <c r="I64" s="3"/>
    </row>
    <row r="65" spans="8:11" x14ac:dyDescent="0.25">
      <c r="H65" s="3"/>
      <c r="I65" s="3"/>
      <c r="J65" s="3"/>
      <c r="K65" s="3"/>
    </row>
  </sheetData>
  <sheetProtection selectLockedCells="1"/>
  <mergeCells count="38">
    <mergeCell ref="A57:D57"/>
    <mergeCell ref="A58:D58"/>
    <mergeCell ref="A61:D61"/>
    <mergeCell ref="A36:D36"/>
    <mergeCell ref="A37:D37"/>
    <mergeCell ref="A52:D52"/>
    <mergeCell ref="A53:D53"/>
    <mergeCell ref="A62:D62"/>
    <mergeCell ref="A19:D19"/>
    <mergeCell ref="A21:D21"/>
    <mergeCell ref="A22:D22"/>
    <mergeCell ref="A24:D24"/>
    <mergeCell ref="A26:D26"/>
    <mergeCell ref="A27:D27"/>
    <mergeCell ref="A28:D28"/>
    <mergeCell ref="A30:D30"/>
    <mergeCell ref="A31:D31"/>
    <mergeCell ref="A34:D34"/>
    <mergeCell ref="A35:D35"/>
    <mergeCell ref="A20:D20"/>
    <mergeCell ref="A54:D54"/>
    <mergeCell ref="A55:D55"/>
    <mergeCell ref="A56:D56"/>
    <mergeCell ref="N7:O7"/>
    <mergeCell ref="A17:D17"/>
    <mergeCell ref="A15:D15"/>
    <mergeCell ref="A16:D16"/>
    <mergeCell ref="A14:D14"/>
    <mergeCell ref="A7:D7"/>
    <mergeCell ref="A9:D9"/>
    <mergeCell ref="A11:D11"/>
    <mergeCell ref="A12:D12"/>
    <mergeCell ref="A13:D13"/>
    <mergeCell ref="F3:I3"/>
    <mergeCell ref="A18:D18"/>
    <mergeCell ref="A23:D23"/>
    <mergeCell ref="A29:D29"/>
    <mergeCell ref="I7:J7"/>
  </mergeCells>
  <dataValidations count="2">
    <dataValidation allowBlank="1" showInputMessage="1" showErrorMessage="1" promptTitle="BrutoDobit" prompt="Bruto dobit prema Bilansu uspeha, ne obuhvata otplatu glavice." sqref="A34:D34"/>
    <dataValidation allowBlank="1" showInputMessage="1" showErrorMessage="1" promptTitle="CashFlow" prompt="Ne obuhvata amortizaciju, ali obuhvata otplatu glavnice." sqref="A39"/>
  </dataValidations>
  <hyperlinks>
    <hyperlink ref="I7:J7" location="FinaIndikatori!I1" display="NAZAD"/>
    <hyperlink ref="N7:O7" location="Graf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J12"/>
  <sheetViews>
    <sheetView workbookViewId="0"/>
  </sheetViews>
  <sheetFormatPr defaultRowHeight="15" x14ac:dyDescent="0.25"/>
  <sheetData>
    <row r="3" spans="1:10" ht="16.5" x14ac:dyDescent="0.35">
      <c r="G3" s="58" t="s">
        <v>188</v>
      </c>
      <c r="H3" s="58"/>
      <c r="I3" s="58"/>
      <c r="J3" s="58"/>
    </row>
    <row r="7" spans="1:10" ht="15" customHeight="1" x14ac:dyDescent="0.25">
      <c r="A7" s="60" t="s">
        <v>100</v>
      </c>
      <c r="B7" s="60"/>
      <c r="C7" s="60"/>
      <c r="D7" s="60"/>
    </row>
    <row r="8" spans="1:10" ht="15" customHeight="1" x14ac:dyDescent="0.25">
      <c r="A8" s="60"/>
      <c r="B8" s="60"/>
      <c r="C8" s="60"/>
      <c r="D8" s="60"/>
    </row>
    <row r="9" spans="1:10" x14ac:dyDescent="0.25">
      <c r="A9" s="60"/>
      <c r="B9" s="60"/>
      <c r="C9" s="60"/>
      <c r="D9" s="60"/>
    </row>
    <row r="11" spans="1:10" x14ac:dyDescent="0.25">
      <c r="A11" s="62" t="s">
        <v>130</v>
      </c>
      <c r="B11" s="62"/>
      <c r="C11" s="63" t="s">
        <v>131</v>
      </c>
      <c r="D11" s="63"/>
    </row>
    <row r="12" spans="1:10" x14ac:dyDescent="0.25">
      <c r="A12" s="62"/>
      <c r="B12" s="62"/>
      <c r="C12" s="63"/>
      <c r="D12" s="63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EconIndikatori!I1" display="NAZAD"/>
    <hyperlink ref="C11:D12" location="GrafEk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22</vt:i4>
      </vt:variant>
    </vt:vector>
  </HeadingPairs>
  <TitlesOfParts>
    <vt:vector size="38" baseType="lpstr">
      <vt:lpstr>Pocetna</vt:lpstr>
      <vt:lpstr>KonvFaktor</vt:lpstr>
      <vt:lpstr>PomTab1</vt:lpstr>
      <vt:lpstr>UnosPodataka</vt:lpstr>
      <vt:lpstr>TroskoviEnergije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CO2Tax</vt:lpstr>
      <vt:lpstr>ECONS</vt:lpstr>
      <vt:lpstr>EFFTPS</vt:lpstr>
      <vt:lpstr>EPOW</vt:lpstr>
      <vt:lpstr>EPrice</vt:lpstr>
      <vt:lpstr>Equity</vt:lpstr>
      <vt:lpstr>eta</vt:lpstr>
      <vt:lpstr>etagrid</vt:lpstr>
      <vt:lpstr>HEAT</vt:lpstr>
      <vt:lpstr>HPCAP</vt:lpstr>
      <vt:lpstr>HPrice</vt:lpstr>
      <vt:lpstr>HRED</vt:lpstr>
      <vt:lpstr>Investment</vt:lpstr>
      <vt:lpstr>KamSptv</vt:lpstr>
      <vt:lpstr>LCoEE</vt:lpstr>
      <vt:lpstr>Loan</vt:lpstr>
      <vt:lpstr>Money</vt:lpstr>
      <vt:lpstr>PROJEKAT</vt:lpstr>
      <vt:lpstr>WCONS</vt:lpstr>
      <vt:lpstr>WHOUR</vt:lpstr>
      <vt:lpstr>WPRICE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2023-07-21T07:20:56Z</dcterms:modified>
</cp:coreProperties>
</file>