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trlProps/ctrlProp1.xml" ContentType="application/vnd.ms-excel.controlproperties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1.xml" ContentType="application/vnd.openxmlformats-officedocument.drawingml.chart+xml"/>
  <Override PartName="/xl/drawings/drawing10.xml" ContentType="application/vnd.openxmlformats-officedocument.drawing+xml"/>
  <Override PartName="/xl/charts/chart2.xml" ContentType="application/vnd.openxmlformats-officedocument.drawingml.char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harts/chart3.xml" ContentType="application/vnd.openxmlformats-officedocument.drawingml.chart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harts/chart4.xml" ContentType="application/vnd.openxmlformats-officedocument.drawingml.chart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hidePivotFieldList="1"/>
  <bookViews>
    <workbookView xWindow="-120" yWindow="-120" windowWidth="29040" windowHeight="15840" firstSheet="3" activeTab="14"/>
  </bookViews>
  <sheets>
    <sheet name="Pocetna" sheetId="1" r:id="rId1"/>
    <sheet name="KonvFaktor" sheetId="18" r:id="rId2"/>
    <sheet name="PomTab1" sheetId="4" r:id="rId3"/>
    <sheet name="UnosPodataka" sheetId="2" r:id="rId4"/>
    <sheet name="TrosakEnergije" sheetId="5" r:id="rId5"/>
    <sheet name="Anuiteti" sheetId="6" r:id="rId6"/>
    <sheet name="FinaIndikatori" sheetId="7" r:id="rId7"/>
    <sheet name="FinInd+CO2" sheetId="9" r:id="rId8"/>
    <sheet name="GrafFina" sheetId="10" r:id="rId9"/>
    <sheet name="Graf+CO2" sheetId="11" r:id="rId10"/>
    <sheet name="LCoEE" sheetId="12" r:id="rId11"/>
    <sheet name="Osetljivost" sheetId="13" r:id="rId12"/>
    <sheet name="AkoESCO" sheetId="14" r:id="rId13"/>
    <sheet name="ESCOGrafFina" sheetId="15" r:id="rId14"/>
    <sheet name="REZIME" sheetId="16" r:id="rId15"/>
    <sheet name="Gorivo" sheetId="19" state="hidden" r:id="rId16"/>
  </sheets>
  <externalReferences>
    <externalReference r:id="rId17"/>
  </externalReferences>
  <definedNames>
    <definedName name="Biomass">TrosakEnergije!$J$19</definedName>
    <definedName name="BMPrice">TrosakEnergije!$J$13</definedName>
    <definedName name="CARBON">TrosakEnergije!$J$24</definedName>
    <definedName name="CERT">TrosakEnergije!$L$23</definedName>
    <definedName name="CO2Tax" comment="11. aprila 2023. godine">UnosPodataka!$M$13</definedName>
    <definedName name="EPOW">TrosakEnergije!$J$17</definedName>
    <definedName name="EPrice">TrosakEnergije!$J$11</definedName>
    <definedName name="Equity">UnosPodataka!$F$27</definedName>
    <definedName name="eta">TrosakEnergije!$J$14</definedName>
    <definedName name="etagrid">TrosakEnergije!$J$15</definedName>
    <definedName name="FDS">[1]PomTab1!$L$23</definedName>
    <definedName name="FIRR">FinaIndikatori!#REF!</definedName>
    <definedName name="FNPV">FinaIndikatori!#REF!</definedName>
    <definedName name="HEAT">TrosakEnergije!$J$10</definedName>
    <definedName name="HPrice">TrosakEnergije!$J$12</definedName>
    <definedName name="InfRate" comment="Inflacija">0</definedName>
    <definedName name="Investment">UnosPodataka!$F$20</definedName>
    <definedName name="Kurs_EUR" comment="Obračunski kurs EUR na dan 11. april 2023">117.288</definedName>
    <definedName name="LCoE">LCoEE!$E$19</definedName>
    <definedName name="Loan">UnosPodataka!$F$30</definedName>
    <definedName name="PDV" comment="Porez na dodatu vrednost (opšti)">0.2</definedName>
    <definedName name="PROJEKAT">Pocetna!$M$13</definedName>
    <definedName name="VAT" comment="Porez na poslovanje kompanije">0.15</definedName>
    <definedName name="WHOUR">TrosakEnergije!$J$18</definedName>
  </definedNames>
  <calcPr calcId="145621"/>
</workbook>
</file>

<file path=xl/calcChain.xml><?xml version="1.0" encoding="utf-8"?>
<calcChain xmlns="http://schemas.openxmlformats.org/spreadsheetml/2006/main">
  <c r="D17" i="18" l="1"/>
  <c r="D16" i="18"/>
  <c r="D15" i="18"/>
  <c r="D14" i="18"/>
  <c r="D13" i="18"/>
  <c r="D12" i="18"/>
  <c r="E13" i="16" l="1"/>
  <c r="E12" i="16"/>
  <c r="E11" i="16"/>
  <c r="E10" i="16"/>
  <c r="E9" i="16"/>
  <c r="G10" i="14"/>
  <c r="F10" i="14"/>
  <c r="F12" i="12"/>
  <c r="G10" i="12"/>
  <c r="F10" i="12"/>
  <c r="E51" i="9" a="1"/>
  <c r="F32" i="9"/>
  <c r="F30" i="9"/>
  <c r="F28" i="9"/>
  <c r="H27" i="9"/>
  <c r="F27" i="9"/>
  <c r="F15" i="9"/>
  <c r="E13" i="9"/>
  <c r="E12" i="9"/>
  <c r="E11" i="9"/>
  <c r="I9" i="9"/>
  <c r="H9" i="9"/>
  <c r="G9" i="9"/>
  <c r="F63" i="7"/>
  <c r="F58" i="7"/>
  <c r="E48" i="7" a="1"/>
  <c r="G29" i="7"/>
  <c r="F29" i="7"/>
  <c r="F27" i="7"/>
  <c r="F25" i="7"/>
  <c r="F24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3" i="7"/>
  <c r="E12" i="7"/>
  <c r="E11" i="7"/>
  <c r="E31" i="7" s="1"/>
  <c r="E33" i="7" s="1"/>
  <c r="H9" i="7"/>
  <c r="G9" i="7"/>
  <c r="B15" i="6"/>
  <c r="B16" i="6" s="1"/>
  <c r="C14" i="6"/>
  <c r="E10" i="6"/>
  <c r="E14" i="6" s="1"/>
  <c r="J24" i="5"/>
  <c r="J10" i="5"/>
  <c r="F14" i="9" s="1"/>
  <c r="F20" i="9" s="1"/>
  <c r="F33" i="9" s="1"/>
  <c r="F30" i="2"/>
  <c r="F28" i="2"/>
  <c r="F21" i="2"/>
  <c r="F20" i="2"/>
  <c r="C25" i="4"/>
  <c r="K24" i="4"/>
  <c r="K23" i="4"/>
  <c r="K22" i="4"/>
  <c r="C18" i="18"/>
  <c r="E17" i="18"/>
  <c r="E16" i="18"/>
  <c r="E15" i="18"/>
  <c r="E14" i="18"/>
  <c r="E13" i="18"/>
  <c r="E12" i="18"/>
  <c r="E18" i="18" l="1"/>
  <c r="E21" i="18" s="1"/>
  <c r="F18" i="9" s="1"/>
  <c r="K25" i="4"/>
  <c r="L25" i="4" s="1"/>
  <c r="E53" i="7"/>
  <c r="E54" i="7" s="1"/>
  <c r="E55" i="7" s="1"/>
  <c r="E39" i="7"/>
  <c r="B17" i="6"/>
  <c r="E16" i="6"/>
  <c r="J19" i="5"/>
  <c r="D14" i="6"/>
  <c r="I9" i="7"/>
  <c r="F14" i="7"/>
  <c r="G28" i="7"/>
  <c r="H29" i="7"/>
  <c r="H28" i="7"/>
  <c r="E15" i="6"/>
  <c r="G14" i="7"/>
  <c r="G18" i="7"/>
  <c r="G30" i="7" s="1"/>
  <c r="G12" i="14" s="1"/>
  <c r="G13" i="14" s="1"/>
  <c r="G19" i="7"/>
  <c r="G24" i="7"/>
  <c r="G25" i="7"/>
  <c r="G26" i="7"/>
  <c r="G27" i="7"/>
  <c r="G56" i="7"/>
  <c r="G57" i="7" s="1"/>
  <c r="G58" i="7" s="1"/>
  <c r="H14" i="7"/>
  <c r="H18" i="7"/>
  <c r="H30" i="7" s="1"/>
  <c r="H12" i="14" s="1"/>
  <c r="H19" i="7"/>
  <c r="H56" i="7" s="1"/>
  <c r="H57" i="7" s="1"/>
  <c r="H24" i="7"/>
  <c r="H25" i="7"/>
  <c r="H26" i="7"/>
  <c r="H27" i="7"/>
  <c r="I32" i="9"/>
  <c r="I31" i="9"/>
  <c r="I30" i="9"/>
  <c r="I29" i="9"/>
  <c r="I28" i="9"/>
  <c r="I27" i="9"/>
  <c r="I20" i="9"/>
  <c r="I33" i="9" s="1"/>
  <c r="I15" i="9"/>
  <c r="I14" i="9"/>
  <c r="J9" i="9"/>
  <c r="H10" i="14"/>
  <c r="E65" i="9"/>
  <c r="E34" i="9"/>
  <c r="E36" i="9" s="1"/>
  <c r="G14" i="9"/>
  <c r="G15" i="9"/>
  <c r="G20" i="9"/>
  <c r="G33" i="9" s="1"/>
  <c r="H32" i="9"/>
  <c r="G16" i="12"/>
  <c r="H10" i="12"/>
  <c r="G32" i="9"/>
  <c r="G31" i="9"/>
  <c r="G30" i="9"/>
  <c r="G29" i="9"/>
  <c r="G28" i="9"/>
  <c r="G27" i="9"/>
  <c r="H14" i="9"/>
  <c r="H15" i="9"/>
  <c r="H28" i="9"/>
  <c r="H30" i="9"/>
  <c r="H31" i="9"/>
  <c r="M3" i="9"/>
  <c r="D25" i="19" l="1"/>
  <c r="D26" i="19"/>
  <c r="Q40" i="4"/>
  <c r="M24" i="2" s="1"/>
  <c r="E45" i="9"/>
  <c r="E42" i="7"/>
  <c r="G63" i="7"/>
  <c r="H58" i="7"/>
  <c r="J32" i="9"/>
  <c r="J31" i="9"/>
  <c r="J30" i="9"/>
  <c r="J28" i="9"/>
  <c r="K9" i="9"/>
  <c r="J29" i="9"/>
  <c r="J27" i="9"/>
  <c r="J15" i="9"/>
  <c r="J14" i="9"/>
  <c r="J20" i="9" s="1"/>
  <c r="J33" i="9" s="1"/>
  <c r="E62" i="7"/>
  <c r="E59" i="7"/>
  <c r="H20" i="9"/>
  <c r="H33" i="9" s="1"/>
  <c r="F16" i="12"/>
  <c r="F18" i="7"/>
  <c r="F31" i="9"/>
  <c r="F29" i="9"/>
  <c r="M4" i="9"/>
  <c r="H29" i="9"/>
  <c r="F26" i="7"/>
  <c r="F28" i="7"/>
  <c r="B18" i="6"/>
  <c r="E17" i="6"/>
  <c r="C15" i="6"/>
  <c r="F22" i="7"/>
  <c r="F25" i="9"/>
  <c r="I10" i="14"/>
  <c r="H13" i="14"/>
  <c r="I27" i="7"/>
  <c r="I26" i="7"/>
  <c r="I18" i="7"/>
  <c r="I30" i="7" s="1"/>
  <c r="I12" i="14" s="1"/>
  <c r="I28" i="7"/>
  <c r="J9" i="7"/>
  <c r="I25" i="7"/>
  <c r="I29" i="7"/>
  <c r="I24" i="7"/>
  <c r="I19" i="7"/>
  <c r="I14" i="7"/>
  <c r="H16" i="12"/>
  <c r="I10" i="12"/>
  <c r="E56" i="9"/>
  <c r="E57" i="9" s="1"/>
  <c r="E58" i="9" s="1"/>
  <c r="E62" i="9" s="1"/>
  <c r="E42" i="9"/>
  <c r="E40" i="7"/>
  <c r="E43" i="7"/>
  <c r="E44" i="7" s="1"/>
  <c r="Y16" i="9" l="1"/>
  <c r="Y21" i="9" s="1"/>
  <c r="G16" i="9"/>
  <c r="G21" i="9" s="1"/>
  <c r="G22" i="9" s="1"/>
  <c r="G59" i="9" s="1"/>
  <c r="G60" i="9" s="1"/>
  <c r="M16" i="9"/>
  <c r="M21" i="9" s="1"/>
  <c r="X16" i="9"/>
  <c r="X21" i="9" s="1"/>
  <c r="K16" i="9"/>
  <c r="K21" i="9" s="1"/>
  <c r="F16" i="9"/>
  <c r="F21" i="9" s="1"/>
  <c r="F22" i="9" s="1"/>
  <c r="F59" i="9" s="1"/>
  <c r="F60" i="9" s="1"/>
  <c r="F61" i="9" s="1"/>
  <c r="I16" i="9"/>
  <c r="I21" i="9" s="1"/>
  <c r="I22" i="9" s="1"/>
  <c r="I59" i="9" s="1"/>
  <c r="I60" i="9" s="1"/>
  <c r="J16" i="9"/>
  <c r="J21" i="9" s="1"/>
  <c r="J22" i="9" s="1"/>
  <c r="J59" i="9" s="1"/>
  <c r="J60" i="9" s="1"/>
  <c r="H16" i="9"/>
  <c r="H21" i="9" s="1"/>
  <c r="H22" i="9" s="1"/>
  <c r="T16" i="9"/>
  <c r="T21" i="9" s="1"/>
  <c r="N16" i="9"/>
  <c r="N21" i="9" s="1"/>
  <c r="P16" i="9"/>
  <c r="P21" i="9" s="1"/>
  <c r="U16" i="9"/>
  <c r="U21" i="9" s="1"/>
  <c r="O16" i="9"/>
  <c r="O21" i="9" s="1"/>
  <c r="S16" i="9"/>
  <c r="S21" i="9" s="1"/>
  <c r="W16" i="9"/>
  <c r="W21" i="9" s="1"/>
  <c r="Q16" i="9"/>
  <c r="Q21" i="9" s="1"/>
  <c r="R16" i="9"/>
  <c r="R21" i="9" s="1"/>
  <c r="L16" i="9"/>
  <c r="L21" i="9" s="1"/>
  <c r="V16" i="9"/>
  <c r="V21" i="9" s="1"/>
  <c r="D15" i="6"/>
  <c r="C16" i="6"/>
  <c r="E46" i="9"/>
  <c r="E47" i="9" s="1"/>
  <c r="E43" i="9"/>
  <c r="I56" i="7"/>
  <c r="I57" i="7" s="1"/>
  <c r="I58" i="7" s="1"/>
  <c r="F30" i="7"/>
  <c r="F12" i="14" s="1"/>
  <c r="F19" i="7"/>
  <c r="K32" i="9"/>
  <c r="K31" i="9"/>
  <c r="K30" i="9"/>
  <c r="K29" i="9"/>
  <c r="K28" i="9"/>
  <c r="K27" i="9"/>
  <c r="L9" i="9"/>
  <c r="K15" i="9"/>
  <c r="K14" i="9"/>
  <c r="K20" i="9" s="1"/>
  <c r="K33" i="9" s="1"/>
  <c r="H63" i="7"/>
  <c r="J10" i="14"/>
  <c r="I13" i="14"/>
  <c r="F26" i="9"/>
  <c r="F34" i="9" s="1"/>
  <c r="B19" i="6"/>
  <c r="E18" i="6"/>
  <c r="I16" i="12"/>
  <c r="J10" i="12"/>
  <c r="J28" i="7"/>
  <c r="K9" i="7"/>
  <c r="J29" i="7"/>
  <c r="J27" i="7"/>
  <c r="J26" i="7"/>
  <c r="J25" i="7"/>
  <c r="J24" i="7"/>
  <c r="J14" i="7"/>
  <c r="J18" i="7" s="1"/>
  <c r="F23" i="7"/>
  <c r="F31" i="7" s="1"/>
  <c r="H59" i="9"/>
  <c r="H60" i="9" s="1"/>
  <c r="G17" i="12" l="1"/>
  <c r="F37" i="9"/>
  <c r="F39" i="9" s="1"/>
  <c r="F36" i="9" s="1"/>
  <c r="I17" i="12"/>
  <c r="H17" i="12"/>
  <c r="F17" i="12"/>
  <c r="J30" i="7"/>
  <c r="J12" i="14" s="1"/>
  <c r="J13" i="14" s="1"/>
  <c r="J19" i="7"/>
  <c r="J16" i="12"/>
  <c r="K10" i="12"/>
  <c r="J17" i="12"/>
  <c r="F13" i="14"/>
  <c r="D16" i="6"/>
  <c r="C17" i="6"/>
  <c r="K29" i="7"/>
  <c r="K27" i="7"/>
  <c r="K26" i="7"/>
  <c r="K25" i="7"/>
  <c r="K24" i="7"/>
  <c r="K19" i="7"/>
  <c r="K18" i="7"/>
  <c r="K30" i="7" s="1"/>
  <c r="K12" i="14" s="1"/>
  <c r="K14" i="7"/>
  <c r="K28" i="7"/>
  <c r="L9" i="7"/>
  <c r="K22" i="9"/>
  <c r="I63" i="7"/>
  <c r="G22" i="7"/>
  <c r="G25" i="9"/>
  <c r="L30" i="9"/>
  <c r="L32" i="9"/>
  <c r="L29" i="9"/>
  <c r="L27" i="9"/>
  <c r="L15" i="9"/>
  <c r="L14" i="9"/>
  <c r="L20" i="9" s="1"/>
  <c r="L33" i="9" s="1"/>
  <c r="L31" i="9"/>
  <c r="M9" i="9"/>
  <c r="L28" i="9"/>
  <c r="L22" i="9"/>
  <c r="F34" i="7"/>
  <c r="F56" i="7"/>
  <c r="B20" i="6"/>
  <c r="E19" i="6"/>
  <c r="K10" i="14"/>
  <c r="F66" i="9"/>
  <c r="G61" i="9"/>
  <c r="F40" i="9" l="1"/>
  <c r="F42" i="9" s="1"/>
  <c r="F46" i="9" s="1"/>
  <c r="F47" i="9" s="1"/>
  <c r="L59" i="9"/>
  <c r="L60" i="9" s="1"/>
  <c r="K56" i="7"/>
  <c r="K57" i="7" s="1"/>
  <c r="K16" i="12"/>
  <c r="L10" i="12"/>
  <c r="K17" i="12"/>
  <c r="L10" i="14"/>
  <c r="K13" i="14"/>
  <c r="F36" i="7"/>
  <c r="M32" i="9"/>
  <c r="M31" i="9"/>
  <c r="M30" i="9"/>
  <c r="M29" i="9"/>
  <c r="M28" i="9"/>
  <c r="M27" i="9"/>
  <c r="M20" i="9"/>
  <c r="M33" i="9" s="1"/>
  <c r="M15" i="9"/>
  <c r="M14" i="9"/>
  <c r="N9" i="9"/>
  <c r="M22" i="9"/>
  <c r="G26" i="9"/>
  <c r="G34" i="9" s="1"/>
  <c r="G37" i="9" s="1"/>
  <c r="K59" i="9"/>
  <c r="K60" i="9" s="1"/>
  <c r="D17" i="6"/>
  <c r="B21" i="6"/>
  <c r="E20" i="6"/>
  <c r="G23" i="7"/>
  <c r="G31" i="7"/>
  <c r="L29" i="7"/>
  <c r="L28" i="7"/>
  <c r="L27" i="7"/>
  <c r="L26" i="7"/>
  <c r="L25" i="7"/>
  <c r="L24" i="7"/>
  <c r="L19" i="7"/>
  <c r="L56" i="7" s="1"/>
  <c r="L57" i="7" s="1"/>
  <c r="L18" i="7"/>
  <c r="L30" i="7" s="1"/>
  <c r="L12" i="14" s="1"/>
  <c r="L14" i="7"/>
  <c r="M9" i="7"/>
  <c r="H22" i="7"/>
  <c r="H25" i="9"/>
  <c r="J56" i="7"/>
  <c r="J57" i="7" s="1"/>
  <c r="J58" i="7" s="1"/>
  <c r="G66" i="9"/>
  <c r="H61" i="9"/>
  <c r="F56" i="9"/>
  <c r="F43" i="9" l="1"/>
  <c r="M59" i="9"/>
  <c r="M60" i="9" s="1"/>
  <c r="G39" i="9"/>
  <c r="G36" i="9" s="1"/>
  <c r="I25" i="9"/>
  <c r="I22" i="7"/>
  <c r="M29" i="7"/>
  <c r="M24" i="7"/>
  <c r="N9" i="7"/>
  <c r="M27" i="7"/>
  <c r="M18" i="7"/>
  <c r="M30" i="7" s="1"/>
  <c r="M12" i="14" s="1"/>
  <c r="M14" i="7"/>
  <c r="M28" i="7"/>
  <c r="M26" i="7"/>
  <c r="M25" i="7"/>
  <c r="N32" i="9"/>
  <c r="N31" i="9"/>
  <c r="N30" i="9"/>
  <c r="N29" i="9"/>
  <c r="N27" i="9"/>
  <c r="O9" i="9"/>
  <c r="N28" i="9"/>
  <c r="N34" i="9" s="1"/>
  <c r="N14" i="9"/>
  <c r="N25" i="9"/>
  <c r="N26" i="9" s="1"/>
  <c r="N20" i="9"/>
  <c r="N33" i="9" s="1"/>
  <c r="N15" i="9"/>
  <c r="N22" i="9" s="1"/>
  <c r="M10" i="14"/>
  <c r="L13" i="14"/>
  <c r="H23" i="7"/>
  <c r="H31" i="7" s="1"/>
  <c r="G34" i="7"/>
  <c r="J63" i="7"/>
  <c r="K58" i="7"/>
  <c r="B22" i="6"/>
  <c r="E21" i="6"/>
  <c r="F13" i="12"/>
  <c r="F14" i="12" s="1"/>
  <c r="F33" i="7"/>
  <c r="H26" i="9"/>
  <c r="H34" i="9"/>
  <c r="H37" i="9" s="1"/>
  <c r="C18" i="6"/>
  <c r="F37" i="7"/>
  <c r="F39" i="7" s="1"/>
  <c r="L16" i="12"/>
  <c r="M10" i="12"/>
  <c r="L17" i="12"/>
  <c r="F57" i="9"/>
  <c r="F58" i="9" s="1"/>
  <c r="F63" i="9"/>
  <c r="I61" i="9"/>
  <c r="H66" i="9"/>
  <c r="N37" i="9" l="1"/>
  <c r="N59" i="9"/>
  <c r="N60" i="9" s="1"/>
  <c r="H34" i="7"/>
  <c r="I23" i="7"/>
  <c r="I31" i="7"/>
  <c r="G56" i="9"/>
  <c r="K63" i="7"/>
  <c r="L58" i="7"/>
  <c r="O32" i="9"/>
  <c r="O31" i="9"/>
  <c r="O30" i="9"/>
  <c r="O29" i="9"/>
  <c r="O28" i="9"/>
  <c r="O27" i="9"/>
  <c r="P9" i="9"/>
  <c r="O25" i="9"/>
  <c r="O26" i="9" s="1"/>
  <c r="O20" i="9"/>
  <c r="O33" i="9" s="1"/>
  <c r="O15" i="9"/>
  <c r="O14" i="9"/>
  <c r="O22" i="9" s="1"/>
  <c r="O9" i="7"/>
  <c r="N28" i="7"/>
  <c r="N29" i="7"/>
  <c r="N27" i="7"/>
  <c r="N26" i="7"/>
  <c r="N25" i="7"/>
  <c r="N24" i="7"/>
  <c r="N22" i="7"/>
  <c r="N23" i="7" s="1"/>
  <c r="N14" i="7"/>
  <c r="N18" i="7" s="1"/>
  <c r="I26" i="9"/>
  <c r="I34" i="9"/>
  <c r="I37" i="9" s="1"/>
  <c r="N10" i="14"/>
  <c r="M13" i="14"/>
  <c r="M19" i="7"/>
  <c r="H39" i="9"/>
  <c r="H36" i="9" s="1"/>
  <c r="H56" i="9" s="1"/>
  <c r="G37" i="7"/>
  <c r="G39" i="7" s="1"/>
  <c r="G43" i="7" s="1"/>
  <c r="G36" i="7"/>
  <c r="M16" i="12"/>
  <c r="N10" i="12"/>
  <c r="M17" i="12"/>
  <c r="F43" i="7"/>
  <c r="F44" i="7" s="1"/>
  <c r="F40" i="7"/>
  <c r="F53" i="7"/>
  <c r="D18" i="6"/>
  <c r="C19" i="6"/>
  <c r="B23" i="6"/>
  <c r="E22" i="6"/>
  <c r="C22" i="6"/>
  <c r="D22" i="6"/>
  <c r="G40" i="9"/>
  <c r="G42" i="9" s="1"/>
  <c r="I66" i="9"/>
  <c r="J61" i="9"/>
  <c r="F65" i="9"/>
  <c r="F62" i="9"/>
  <c r="O59" i="9" l="1"/>
  <c r="O60" i="9" s="1"/>
  <c r="O37" i="9"/>
  <c r="N19" i="7"/>
  <c r="N30" i="7"/>
  <c r="N12" i="14" s="1"/>
  <c r="O34" i="9"/>
  <c r="I34" i="7"/>
  <c r="H36" i="7"/>
  <c r="F54" i="7"/>
  <c r="F55" i="7" s="1"/>
  <c r="F60" i="7"/>
  <c r="G44" i="7"/>
  <c r="H40" i="9"/>
  <c r="H42" i="9" s="1"/>
  <c r="H46" i="9" s="1"/>
  <c r="N13" i="14"/>
  <c r="O10" i="14"/>
  <c r="N31" i="7"/>
  <c r="D19" i="6"/>
  <c r="C20" i="6" s="1"/>
  <c r="H57" i="9"/>
  <c r="H63" i="9"/>
  <c r="I39" i="9"/>
  <c r="I36" i="9" s="1"/>
  <c r="I56" i="9" s="1"/>
  <c r="O28" i="7"/>
  <c r="P9" i="7"/>
  <c r="O29" i="7"/>
  <c r="O27" i="7"/>
  <c r="O26" i="7"/>
  <c r="O25" i="7"/>
  <c r="O24" i="7"/>
  <c r="O22" i="7"/>
  <c r="O23" i="7" s="1"/>
  <c r="O14" i="7"/>
  <c r="O18" i="7" s="1"/>
  <c r="G40" i="7"/>
  <c r="G46" i="9"/>
  <c r="G47" i="9" s="1"/>
  <c r="G43" i="9"/>
  <c r="B24" i="6"/>
  <c r="E23" i="6"/>
  <c r="D23" i="6"/>
  <c r="C23" i="6"/>
  <c r="J25" i="9"/>
  <c r="J22" i="7"/>
  <c r="N16" i="12"/>
  <c r="O10" i="12"/>
  <c r="N17" i="12"/>
  <c r="G33" i="7"/>
  <c r="G13" i="12"/>
  <c r="G14" i="12" s="1"/>
  <c r="M56" i="7"/>
  <c r="M57" i="7" s="1"/>
  <c r="P32" i="9"/>
  <c r="P28" i="9"/>
  <c r="P25" i="9"/>
  <c r="P26" i="9" s="1"/>
  <c r="P15" i="9"/>
  <c r="P14" i="9"/>
  <c r="P20" i="9" s="1"/>
  <c r="P33" i="9" s="1"/>
  <c r="P31" i="9"/>
  <c r="P29" i="9"/>
  <c r="Q9" i="9"/>
  <c r="P30" i="9"/>
  <c r="P27" i="9"/>
  <c r="L63" i="7"/>
  <c r="M58" i="7"/>
  <c r="G63" i="9"/>
  <c r="G57" i="9"/>
  <c r="G58" i="9" s="1"/>
  <c r="H58" i="9" s="1"/>
  <c r="N39" i="9"/>
  <c r="N36" i="9" s="1"/>
  <c r="N56" i="9" s="1"/>
  <c r="J66" i="9"/>
  <c r="K61" i="9"/>
  <c r="G65" i="9" l="1"/>
  <c r="I40" i="9"/>
  <c r="I42" i="9" s="1"/>
  <c r="I46" i="9" s="1"/>
  <c r="G62" i="9"/>
  <c r="O30" i="7"/>
  <c r="O12" i="14" s="1"/>
  <c r="O19" i="7"/>
  <c r="D20" i="6"/>
  <c r="C21" i="6"/>
  <c r="D21" i="6" s="1"/>
  <c r="P29" i="7"/>
  <c r="P28" i="7"/>
  <c r="P27" i="7"/>
  <c r="P26" i="7"/>
  <c r="P25" i="7"/>
  <c r="P24" i="7"/>
  <c r="P22" i="7"/>
  <c r="P23" i="7" s="1"/>
  <c r="P14" i="7"/>
  <c r="P18" i="7" s="1"/>
  <c r="Q9" i="7"/>
  <c r="I63" i="9"/>
  <c r="I57" i="9"/>
  <c r="I58" i="9" s="1"/>
  <c r="M63" i="7"/>
  <c r="K25" i="9"/>
  <c r="K22" i="7"/>
  <c r="F62" i="7"/>
  <c r="F59" i="7"/>
  <c r="I36" i="7"/>
  <c r="N34" i="7"/>
  <c r="N56" i="7"/>
  <c r="N57" i="7" s="1"/>
  <c r="N58" i="7" s="1"/>
  <c r="N40" i="9"/>
  <c r="N42" i="9" s="1"/>
  <c r="N46" i="9" s="1"/>
  <c r="Q32" i="9"/>
  <c r="Q31" i="9"/>
  <c r="Q30" i="9"/>
  <c r="Q29" i="9"/>
  <c r="Q28" i="9"/>
  <c r="Q27" i="9"/>
  <c r="Q25" i="9"/>
  <c r="Q26" i="9" s="1"/>
  <c r="Q15" i="9"/>
  <c r="Q14" i="9"/>
  <c r="Q20" i="9" s="1"/>
  <c r="Q33" i="9" s="1"/>
  <c r="R9" i="9"/>
  <c r="J23" i="7"/>
  <c r="J31" i="7" s="1"/>
  <c r="H43" i="9"/>
  <c r="I43" i="9" s="1"/>
  <c r="H13" i="12"/>
  <c r="H14" i="12" s="1"/>
  <c r="H33" i="7"/>
  <c r="H53" i="7" s="1"/>
  <c r="O39" i="9"/>
  <c r="O36" i="9" s="1"/>
  <c r="O56" i="9" s="1"/>
  <c r="N57" i="9"/>
  <c r="N63" i="9"/>
  <c r="P22" i="9"/>
  <c r="P34" i="9"/>
  <c r="G53" i="7"/>
  <c r="O16" i="12"/>
  <c r="P10" i="12"/>
  <c r="O17" i="12"/>
  <c r="J26" i="9"/>
  <c r="J34" i="9"/>
  <c r="J37" i="9" s="1"/>
  <c r="B25" i="6"/>
  <c r="C24" i="6"/>
  <c r="E24" i="6"/>
  <c r="D24" i="6"/>
  <c r="H47" i="9"/>
  <c r="O31" i="7"/>
  <c r="P10" i="14"/>
  <c r="O13" i="14"/>
  <c r="H37" i="7"/>
  <c r="H39" i="7" s="1"/>
  <c r="K66" i="9"/>
  <c r="L61" i="9"/>
  <c r="H65" i="9"/>
  <c r="H62" i="9"/>
  <c r="I47" i="9" l="1"/>
  <c r="O40" i="9"/>
  <c r="O42" i="9" s="1"/>
  <c r="O46" i="9" s="1"/>
  <c r="P30" i="7"/>
  <c r="P12" i="14" s="1"/>
  <c r="P19" i="7"/>
  <c r="J34" i="7"/>
  <c r="N63" i="7"/>
  <c r="Q22" i="9"/>
  <c r="N37" i="7"/>
  <c r="N39" i="7" s="1"/>
  <c r="N43" i="7" s="1"/>
  <c r="N36" i="7"/>
  <c r="M25" i="9"/>
  <c r="M22" i="7"/>
  <c r="B26" i="6"/>
  <c r="E25" i="6"/>
  <c r="C25" i="6"/>
  <c r="D25" i="6"/>
  <c r="P16" i="12"/>
  <c r="Q10" i="12"/>
  <c r="P17" i="12"/>
  <c r="O63" i="9"/>
  <c r="O57" i="9"/>
  <c r="R32" i="9"/>
  <c r="R31" i="9"/>
  <c r="R30" i="9"/>
  <c r="R28" i="9"/>
  <c r="S9" i="9"/>
  <c r="R29" i="9"/>
  <c r="R27" i="9"/>
  <c r="R25" i="9"/>
  <c r="R26" i="9" s="1"/>
  <c r="R15" i="9"/>
  <c r="R14" i="9"/>
  <c r="Q34" i="9"/>
  <c r="I33" i="7"/>
  <c r="I13" i="12"/>
  <c r="I14" i="12" s="1"/>
  <c r="Q30" i="7"/>
  <c r="Q12" i="14" s="1"/>
  <c r="Q29" i="7"/>
  <c r="Q28" i="7"/>
  <c r="Q27" i="7"/>
  <c r="Q22" i="7"/>
  <c r="Q23" i="7" s="1"/>
  <c r="Q14" i="7"/>
  <c r="R9" i="7"/>
  <c r="Q26" i="7"/>
  <c r="Q25" i="7"/>
  <c r="Q24" i="7"/>
  <c r="Q19" i="7"/>
  <c r="Q18" i="7"/>
  <c r="L25" i="9"/>
  <c r="L22" i="7"/>
  <c r="H43" i="7"/>
  <c r="H44" i="7" s="1"/>
  <c r="G60" i="7"/>
  <c r="G54" i="7"/>
  <c r="G55" i="7" s="1"/>
  <c r="P37" i="9"/>
  <c r="P59" i="9"/>
  <c r="P60" i="9" s="1"/>
  <c r="I37" i="7"/>
  <c r="I39" i="7" s="1"/>
  <c r="I43" i="7" s="1"/>
  <c r="K23" i="7"/>
  <c r="K31" i="7" s="1"/>
  <c r="O56" i="7"/>
  <c r="O57" i="7" s="1"/>
  <c r="O58" i="7" s="1"/>
  <c r="O34" i="7"/>
  <c r="Q10" i="14"/>
  <c r="P13" i="14"/>
  <c r="J39" i="9"/>
  <c r="J36" i="9" s="1"/>
  <c r="H40" i="7"/>
  <c r="H60" i="7"/>
  <c r="H54" i="7"/>
  <c r="K26" i="9"/>
  <c r="K34" i="9"/>
  <c r="K37" i="9" s="1"/>
  <c r="P31" i="7"/>
  <c r="I65" i="9"/>
  <c r="I62" i="9"/>
  <c r="M61" i="9"/>
  <c r="L66" i="9"/>
  <c r="J40" i="9" l="1"/>
  <c r="J42" i="9" s="1"/>
  <c r="J43" i="9" s="1"/>
  <c r="K34" i="7"/>
  <c r="O63" i="7"/>
  <c r="R10" i="14"/>
  <c r="Q13" i="14"/>
  <c r="G62" i="7"/>
  <c r="H55" i="7"/>
  <c r="G59" i="7"/>
  <c r="Q16" i="12"/>
  <c r="R10" i="12"/>
  <c r="Q17" i="12"/>
  <c r="J56" i="9"/>
  <c r="O36" i="7"/>
  <c r="O37" i="7" s="1"/>
  <c r="O39" i="7" s="1"/>
  <c r="O43" i="7" s="1"/>
  <c r="L23" i="7"/>
  <c r="L31" i="7"/>
  <c r="Q31" i="7"/>
  <c r="S9" i="7"/>
  <c r="R28" i="7"/>
  <c r="R27" i="7"/>
  <c r="R26" i="7"/>
  <c r="R25" i="7"/>
  <c r="R24" i="7"/>
  <c r="R22" i="7"/>
  <c r="R23" i="7" s="1"/>
  <c r="R14" i="7"/>
  <c r="R18" i="7" s="1"/>
  <c r="R29" i="7"/>
  <c r="Q56" i="7"/>
  <c r="Q57" i="7" s="1"/>
  <c r="M23" i="7"/>
  <c r="M31" i="7"/>
  <c r="Q59" i="9"/>
  <c r="Q60" i="9" s="1"/>
  <c r="Q37" i="9"/>
  <c r="P56" i="7"/>
  <c r="P57" i="7" s="1"/>
  <c r="P58" i="7" s="1"/>
  <c r="P34" i="7"/>
  <c r="J46" i="9"/>
  <c r="J47" i="9" s="1"/>
  <c r="L26" i="9"/>
  <c r="L34" i="9" s="1"/>
  <c r="L37" i="9" s="1"/>
  <c r="R20" i="9"/>
  <c r="R33" i="9" s="1"/>
  <c r="R34" i="9" s="1"/>
  <c r="S32" i="9"/>
  <c r="S31" i="9"/>
  <c r="S30" i="9"/>
  <c r="S29" i="9"/>
  <c r="S28" i="9"/>
  <c r="S27" i="9"/>
  <c r="S25" i="9"/>
  <c r="S26" i="9" s="1"/>
  <c r="T9" i="9"/>
  <c r="S20" i="9"/>
  <c r="S33" i="9" s="1"/>
  <c r="S15" i="9"/>
  <c r="S14" i="9"/>
  <c r="S22" i="9" s="1"/>
  <c r="M26" i="9"/>
  <c r="M34" i="9" s="1"/>
  <c r="M37" i="9" s="1"/>
  <c r="J36" i="7"/>
  <c r="J37" i="7"/>
  <c r="J39" i="7" s="1"/>
  <c r="I44" i="7"/>
  <c r="K39" i="9"/>
  <c r="K36" i="9" s="1"/>
  <c r="K56" i="9" s="1"/>
  <c r="I40" i="7"/>
  <c r="P39" i="9"/>
  <c r="P36" i="9" s="1"/>
  <c r="P56" i="9" s="1"/>
  <c r="I53" i="7"/>
  <c r="B27" i="6"/>
  <c r="E26" i="6"/>
  <c r="D26" i="6"/>
  <c r="C26" i="6"/>
  <c r="N13" i="12"/>
  <c r="N14" i="12" s="1"/>
  <c r="N33" i="7"/>
  <c r="N53" i="7" s="1"/>
  <c r="M66" i="9"/>
  <c r="N61" i="9"/>
  <c r="K40" i="9" l="1"/>
  <c r="K42" i="9" s="1"/>
  <c r="K46" i="9" s="1"/>
  <c r="K47" i="9" s="1"/>
  <c r="P40" i="9"/>
  <c r="P42" i="9" s="1"/>
  <c r="P46" i="9" s="1"/>
  <c r="R19" i="7"/>
  <c r="R30" i="7"/>
  <c r="R12" i="14" s="1"/>
  <c r="M39" i="9"/>
  <c r="M36" i="9" s="1"/>
  <c r="M56" i="9" s="1"/>
  <c r="P63" i="7"/>
  <c r="Q58" i="7"/>
  <c r="S59" i="9"/>
  <c r="S60" i="9" s="1"/>
  <c r="L39" i="9"/>
  <c r="L36" i="9" s="1"/>
  <c r="M34" i="7"/>
  <c r="S28" i="7"/>
  <c r="S27" i="7"/>
  <c r="S26" i="7"/>
  <c r="S25" i="7"/>
  <c r="S24" i="7"/>
  <c r="S22" i="7"/>
  <c r="S23" i="7" s="1"/>
  <c r="S14" i="7"/>
  <c r="S18" i="7" s="1"/>
  <c r="T9" i="7"/>
  <c r="S29" i="7"/>
  <c r="R13" i="14"/>
  <c r="S10" i="14"/>
  <c r="N60" i="7"/>
  <c r="N54" i="7"/>
  <c r="J13" i="12"/>
  <c r="J14" i="12" s="1"/>
  <c r="J33" i="7"/>
  <c r="J63" i="9"/>
  <c r="J57" i="9"/>
  <c r="J58" i="9" s="1"/>
  <c r="H62" i="7"/>
  <c r="H59" i="7"/>
  <c r="K37" i="7"/>
  <c r="K39" i="7" s="1"/>
  <c r="K43" i="7" s="1"/>
  <c r="K36" i="7"/>
  <c r="B28" i="6"/>
  <c r="C27" i="6"/>
  <c r="E27" i="6"/>
  <c r="D27" i="6"/>
  <c r="S34" i="9"/>
  <c r="S37" i="9" s="1"/>
  <c r="Q39" i="9"/>
  <c r="Q36" i="9" s="1"/>
  <c r="Q56" i="9" s="1"/>
  <c r="I60" i="7"/>
  <c r="I54" i="7"/>
  <c r="I55" i="7" s="1"/>
  <c r="J43" i="7"/>
  <c r="J44" i="7" s="1"/>
  <c r="K44" i="7" s="1"/>
  <c r="P36" i="7"/>
  <c r="L34" i="7"/>
  <c r="R16" i="12"/>
  <c r="S10" i="12"/>
  <c r="R17" i="12"/>
  <c r="K57" i="9"/>
  <c r="K63" i="9"/>
  <c r="P63" i="9"/>
  <c r="P57" i="9"/>
  <c r="J40" i="7"/>
  <c r="T31" i="9"/>
  <c r="T29" i="9"/>
  <c r="T27" i="9"/>
  <c r="T20" i="9"/>
  <c r="T33" i="9" s="1"/>
  <c r="T15" i="9"/>
  <c r="T14" i="9"/>
  <c r="T30" i="9"/>
  <c r="T25" i="9"/>
  <c r="T26" i="9" s="1"/>
  <c r="T32" i="9"/>
  <c r="T28" i="9"/>
  <c r="U9" i="9"/>
  <c r="T22" i="9"/>
  <c r="R31" i="7"/>
  <c r="O13" i="12"/>
  <c r="O14" i="12" s="1"/>
  <c r="O33" i="7"/>
  <c r="O53" i="7" s="1"/>
  <c r="Q34" i="7"/>
  <c r="R22" i="9"/>
  <c r="N66" i="9"/>
  <c r="O61" i="9"/>
  <c r="K43" i="9" l="1"/>
  <c r="Q40" i="9"/>
  <c r="Q42" i="9" s="1"/>
  <c r="Q46" i="9" s="1"/>
  <c r="L40" i="9"/>
  <c r="L42" i="9" s="1"/>
  <c r="L46" i="9" s="1"/>
  <c r="L47" i="9" s="1"/>
  <c r="T34" i="9"/>
  <c r="T37" i="9" s="1"/>
  <c r="T59" i="9"/>
  <c r="T60" i="9" s="1"/>
  <c r="I62" i="7"/>
  <c r="I59" i="7"/>
  <c r="S31" i="7"/>
  <c r="S19" i="7"/>
  <c r="S30" i="7"/>
  <c r="S12" i="14" s="1"/>
  <c r="S39" i="9"/>
  <c r="S36" i="9" s="1"/>
  <c r="S56" i="9" s="1"/>
  <c r="R59" i="9"/>
  <c r="R60" i="9" s="1"/>
  <c r="R37" i="9"/>
  <c r="B29" i="6"/>
  <c r="E28" i="6"/>
  <c r="D28" i="6"/>
  <c r="C28" i="6"/>
  <c r="S16" i="12"/>
  <c r="T10" i="12"/>
  <c r="S17" i="12"/>
  <c r="L36" i="7"/>
  <c r="L37" i="7" s="1"/>
  <c r="L39" i="7" s="1"/>
  <c r="L43" i="7" s="1"/>
  <c r="L44" i="7" s="1"/>
  <c r="Q37" i="7"/>
  <c r="Q39" i="7" s="1"/>
  <c r="Q43" i="7" s="1"/>
  <c r="Q36" i="7"/>
  <c r="K40" i="7"/>
  <c r="Q63" i="9"/>
  <c r="Q57" i="9"/>
  <c r="K13" i="12"/>
  <c r="K14" i="12" s="1"/>
  <c r="K33" i="7"/>
  <c r="K53" i="7" s="1"/>
  <c r="J53" i="7"/>
  <c r="T10" i="14"/>
  <c r="S13" i="14"/>
  <c r="M40" i="9"/>
  <c r="M42" i="9" s="1"/>
  <c r="R34" i="7"/>
  <c r="R56" i="7"/>
  <c r="R57" i="7" s="1"/>
  <c r="U32" i="9"/>
  <c r="U31" i="9"/>
  <c r="U30" i="9"/>
  <c r="U29" i="9"/>
  <c r="U28" i="9"/>
  <c r="U27" i="9"/>
  <c r="U15" i="9"/>
  <c r="U14" i="9"/>
  <c r="U20" i="9" s="1"/>
  <c r="U33" i="9" s="1"/>
  <c r="U25" i="9"/>
  <c r="U26" i="9" s="1"/>
  <c r="V9" i="9"/>
  <c r="U22" i="9"/>
  <c r="P33" i="7"/>
  <c r="P53" i="7" s="1"/>
  <c r="P13" i="12"/>
  <c r="P14" i="12" s="1"/>
  <c r="O60" i="7"/>
  <c r="O54" i="7"/>
  <c r="P37" i="7"/>
  <c r="P39" i="7" s="1"/>
  <c r="P43" i="7" s="1"/>
  <c r="K58" i="9"/>
  <c r="J62" i="9"/>
  <c r="J65" i="9"/>
  <c r="T29" i="7"/>
  <c r="T28" i="7"/>
  <c r="T27" i="7"/>
  <c r="T26" i="7"/>
  <c r="T25" i="7"/>
  <c r="T24" i="7"/>
  <c r="T22" i="7"/>
  <c r="T23" i="7" s="1"/>
  <c r="T14" i="7"/>
  <c r="T18" i="7" s="1"/>
  <c r="U9" i="7"/>
  <c r="M36" i="7"/>
  <c r="L56" i="9"/>
  <c r="Q63" i="7"/>
  <c r="R58" i="7"/>
  <c r="M63" i="9"/>
  <c r="M57" i="9"/>
  <c r="O66" i="9"/>
  <c r="P61" i="9"/>
  <c r="L43" i="9" l="1"/>
  <c r="M43" i="9" s="1"/>
  <c r="N43" i="9" s="1"/>
  <c r="O43" i="9" s="1"/>
  <c r="P43" i="9" s="1"/>
  <c r="Q43" i="9" s="1"/>
  <c r="S40" i="9"/>
  <c r="S42" i="9" s="1"/>
  <c r="S46" i="9" s="1"/>
  <c r="T19" i="7"/>
  <c r="T30" i="7"/>
  <c r="T12" i="14" s="1"/>
  <c r="U59" i="9"/>
  <c r="U60" i="9" s="1"/>
  <c r="T39" i="9"/>
  <c r="T36" i="9" s="1"/>
  <c r="T56" i="9" s="1"/>
  <c r="M13" i="12"/>
  <c r="M14" i="12" s="1"/>
  <c r="M33" i="7"/>
  <c r="M53" i="7" s="1"/>
  <c r="U28" i="7"/>
  <c r="U27" i="7"/>
  <c r="U26" i="7"/>
  <c r="U14" i="7"/>
  <c r="U18" i="7" s="1"/>
  <c r="U29" i="7"/>
  <c r="V9" i="7"/>
  <c r="U25" i="7"/>
  <c r="U24" i="7"/>
  <c r="U22" i="7"/>
  <c r="U23" i="7" s="1"/>
  <c r="M46" i="9"/>
  <c r="M47" i="9" s="1"/>
  <c r="J60" i="7"/>
  <c r="J54" i="7"/>
  <c r="J55" i="7" s="1"/>
  <c r="L40" i="7"/>
  <c r="R63" i="7"/>
  <c r="L63" i="9"/>
  <c r="L57" i="9"/>
  <c r="L58" i="9" s="1"/>
  <c r="P60" i="7"/>
  <c r="P54" i="7"/>
  <c r="V32" i="9"/>
  <c r="V31" i="9"/>
  <c r="V30" i="9"/>
  <c r="V29" i="9"/>
  <c r="V27" i="9"/>
  <c r="V25" i="9"/>
  <c r="V26" i="9" s="1"/>
  <c r="W9" i="9"/>
  <c r="V28" i="9"/>
  <c r="V20" i="9"/>
  <c r="V33" i="9" s="1"/>
  <c r="V15" i="9"/>
  <c r="V14" i="9"/>
  <c r="V22" i="9"/>
  <c r="U34" i="9"/>
  <c r="U37" i="9" s="1"/>
  <c r="K60" i="7"/>
  <c r="K54" i="7"/>
  <c r="L33" i="7"/>
  <c r="L53" i="7" s="1"/>
  <c r="L13" i="12"/>
  <c r="L14" i="12" s="1"/>
  <c r="S56" i="7"/>
  <c r="S57" i="7" s="1"/>
  <c r="S58" i="7" s="1"/>
  <c r="S34" i="7"/>
  <c r="M37" i="7"/>
  <c r="M39" i="7" s="1"/>
  <c r="M43" i="7" s="1"/>
  <c r="M44" i="7" s="1"/>
  <c r="N44" i="7" s="1"/>
  <c r="O44" i="7" s="1"/>
  <c r="P44" i="7" s="1"/>
  <c r="Q44" i="7" s="1"/>
  <c r="T31" i="7"/>
  <c r="U10" i="14"/>
  <c r="T13" i="14"/>
  <c r="Q13" i="12"/>
  <c r="Q14" i="12" s="1"/>
  <c r="Q33" i="7"/>
  <c r="Q53" i="7" s="1"/>
  <c r="B30" i="6"/>
  <c r="E29" i="6"/>
  <c r="C29" i="6"/>
  <c r="D29" i="6"/>
  <c r="R39" i="9"/>
  <c r="R36" i="9" s="1"/>
  <c r="S63" i="9"/>
  <c r="S57" i="9"/>
  <c r="K62" i="9"/>
  <c r="K65" i="9"/>
  <c r="R37" i="7"/>
  <c r="R39" i="7" s="1"/>
  <c r="R43" i="7" s="1"/>
  <c r="R36" i="7"/>
  <c r="T16" i="12"/>
  <c r="U10" i="12"/>
  <c r="T17" i="12"/>
  <c r="Q61" i="9"/>
  <c r="P66" i="9"/>
  <c r="R44" i="7" l="1"/>
  <c r="R40" i="9"/>
  <c r="R42" i="9" s="1"/>
  <c r="R46" i="9" s="1"/>
  <c r="T40" i="9"/>
  <c r="T42" i="9" s="1"/>
  <c r="T46" i="9" s="1"/>
  <c r="U19" i="7"/>
  <c r="U30" i="7"/>
  <c r="U12" i="14" s="1"/>
  <c r="U39" i="9"/>
  <c r="U36" i="9" s="1"/>
  <c r="U56" i="9" s="1"/>
  <c r="S63" i="7"/>
  <c r="U16" i="12"/>
  <c r="V10" i="12"/>
  <c r="U17" i="12"/>
  <c r="L62" i="9"/>
  <c r="L65" i="9"/>
  <c r="M58" i="9"/>
  <c r="R33" i="7"/>
  <c r="R53" i="7" s="1"/>
  <c r="R13" i="12"/>
  <c r="R14" i="12" s="1"/>
  <c r="R56" i="9"/>
  <c r="B31" i="6"/>
  <c r="C30" i="6"/>
  <c r="E30" i="6"/>
  <c r="D30" i="6"/>
  <c r="S36" i="7"/>
  <c r="S37" i="7" s="1"/>
  <c r="S39" i="7" s="1"/>
  <c r="S43" i="7" s="1"/>
  <c r="S44" i="7" s="1"/>
  <c r="L60" i="7"/>
  <c r="L54" i="7"/>
  <c r="V59" i="9"/>
  <c r="V60" i="9" s="1"/>
  <c r="W32" i="9"/>
  <c r="W31" i="9"/>
  <c r="W30" i="9"/>
  <c r="W29" i="9"/>
  <c r="W28" i="9"/>
  <c r="W27" i="9"/>
  <c r="W25" i="9"/>
  <c r="W26" i="9" s="1"/>
  <c r="X9" i="9"/>
  <c r="W15" i="9"/>
  <c r="W14" i="9"/>
  <c r="V34" i="9"/>
  <c r="V37" i="9" s="1"/>
  <c r="M40" i="7"/>
  <c r="N40" i="7" s="1"/>
  <c r="O40" i="7" s="1"/>
  <c r="P40" i="7" s="1"/>
  <c r="Q40" i="7" s="1"/>
  <c r="R40" i="7" s="1"/>
  <c r="T63" i="9"/>
  <c r="T57" i="9"/>
  <c r="T56" i="7"/>
  <c r="T57" i="7" s="1"/>
  <c r="T58" i="7" s="1"/>
  <c r="T34" i="7"/>
  <c r="V29" i="7"/>
  <c r="W9" i="7"/>
  <c r="V27" i="7"/>
  <c r="V26" i="7"/>
  <c r="V25" i="7"/>
  <c r="V24" i="7"/>
  <c r="V22" i="7"/>
  <c r="V23" i="7" s="1"/>
  <c r="V14" i="7"/>
  <c r="V18" i="7" s="1"/>
  <c r="V28" i="7"/>
  <c r="Q60" i="7"/>
  <c r="Q54" i="7"/>
  <c r="V10" i="14"/>
  <c r="U13" i="14"/>
  <c r="J62" i="7"/>
  <c r="K55" i="7"/>
  <c r="J59" i="7"/>
  <c r="N47" i="9"/>
  <c r="O47" i="9" s="1"/>
  <c r="P47" i="9" s="1"/>
  <c r="Q47" i="9" s="1"/>
  <c r="U31" i="7"/>
  <c r="M60" i="7"/>
  <c r="M54" i="7"/>
  <c r="Q66" i="9"/>
  <c r="R61" i="9"/>
  <c r="R47" i="9" l="1"/>
  <c r="S47" i="9" s="1"/>
  <c r="T47" i="9" s="1"/>
  <c r="U40" i="9"/>
  <c r="U42" i="9" s="1"/>
  <c r="U46" i="9" s="1"/>
  <c r="R43" i="9"/>
  <c r="S43" i="9" s="1"/>
  <c r="T43" i="9" s="1"/>
  <c r="V19" i="7"/>
  <c r="V30" i="7"/>
  <c r="V12" i="14" s="1"/>
  <c r="V13" i="14" s="1"/>
  <c r="T63" i="7"/>
  <c r="V39" i="9"/>
  <c r="V36" i="9" s="1"/>
  <c r="V56" i="9" s="1"/>
  <c r="B32" i="6"/>
  <c r="E31" i="6"/>
  <c r="D31" i="6"/>
  <c r="C31" i="6"/>
  <c r="R60" i="7"/>
  <c r="R54" i="7"/>
  <c r="U63" i="9"/>
  <c r="U57" i="9"/>
  <c r="S13" i="12"/>
  <c r="S14" i="12" s="1"/>
  <c r="S33" i="7"/>
  <c r="S53" i="7" s="1"/>
  <c r="W10" i="14"/>
  <c r="W27" i="7"/>
  <c r="W26" i="7"/>
  <c r="W25" i="7"/>
  <c r="W24" i="7"/>
  <c r="W22" i="7"/>
  <c r="W23" i="7" s="1"/>
  <c r="W14" i="7"/>
  <c r="W18" i="7" s="1"/>
  <c r="W28" i="7"/>
  <c r="W29" i="7"/>
  <c r="X9" i="7"/>
  <c r="T36" i="7"/>
  <c r="W20" i="9"/>
  <c r="W33" i="9" s="1"/>
  <c r="W34" i="9" s="1"/>
  <c r="V16" i="12"/>
  <c r="W10" i="12"/>
  <c r="V17" i="12"/>
  <c r="K62" i="7"/>
  <c r="L55" i="7"/>
  <c r="K59" i="7"/>
  <c r="S40" i="7"/>
  <c r="X31" i="9"/>
  <c r="X30" i="9"/>
  <c r="X28" i="9"/>
  <c r="X15" i="9"/>
  <c r="X14" i="9"/>
  <c r="X20" i="9" s="1"/>
  <c r="X33" i="9" s="1"/>
  <c r="X32" i="9"/>
  <c r="X27" i="9"/>
  <c r="Y9" i="9"/>
  <c r="X29" i="9"/>
  <c r="X25" i="9"/>
  <c r="X26" i="9" s="1"/>
  <c r="R63" i="9"/>
  <c r="R57" i="9"/>
  <c r="N58" i="9"/>
  <c r="M62" i="9"/>
  <c r="M65" i="9"/>
  <c r="U56" i="7"/>
  <c r="U57" i="7" s="1"/>
  <c r="U58" i="7" s="1"/>
  <c r="U34" i="7"/>
  <c r="R66" i="9"/>
  <c r="S61" i="9"/>
  <c r="U47" i="9" l="1"/>
  <c r="U43" i="9"/>
  <c r="W19" i="7"/>
  <c r="W30" i="7"/>
  <c r="W12" i="14" s="1"/>
  <c r="T33" i="7"/>
  <c r="T53" i="7" s="1"/>
  <c r="T13" i="12"/>
  <c r="T14" i="12" s="1"/>
  <c r="U63" i="7"/>
  <c r="X29" i="7"/>
  <c r="X28" i="7"/>
  <c r="X27" i="7"/>
  <c r="X26" i="7"/>
  <c r="X25" i="7"/>
  <c r="X24" i="7"/>
  <c r="X22" i="7"/>
  <c r="X23" i="7" s="1"/>
  <c r="X14" i="7"/>
  <c r="X18" i="7" s="1"/>
  <c r="Y9" i="7"/>
  <c r="V56" i="7"/>
  <c r="V57" i="7" s="1"/>
  <c r="V58" i="7" s="1"/>
  <c r="U36" i="7"/>
  <c r="U37" i="7" s="1"/>
  <c r="U39" i="7" s="1"/>
  <c r="U43" i="7" s="1"/>
  <c r="X10" i="14"/>
  <c r="W13" i="14"/>
  <c r="B33" i="6"/>
  <c r="E32" i="6"/>
  <c r="D32" i="6"/>
  <c r="C32" i="6"/>
  <c r="Y32" i="9"/>
  <c r="Y31" i="9"/>
  <c r="Y30" i="9"/>
  <c r="Y29" i="9"/>
  <c r="Y28" i="9"/>
  <c r="Y27" i="9"/>
  <c r="Y25" i="9"/>
  <c r="Y26" i="9" s="1"/>
  <c r="Y20" i="9"/>
  <c r="Y33" i="9" s="1"/>
  <c r="Y15" i="9"/>
  <c r="Y14" i="9"/>
  <c r="Y22" i="9"/>
  <c r="X22" i="9"/>
  <c r="L62" i="7"/>
  <c r="M55" i="7"/>
  <c r="L59" i="7"/>
  <c r="V40" i="9"/>
  <c r="V42" i="9" s="1"/>
  <c r="V46" i="9" s="1"/>
  <c r="V31" i="7"/>
  <c r="N65" i="9"/>
  <c r="O58" i="9"/>
  <c r="N62" i="9"/>
  <c r="X34" i="9"/>
  <c r="W16" i="12"/>
  <c r="X10" i="12"/>
  <c r="W17" i="12"/>
  <c r="T37" i="7"/>
  <c r="T39" i="7" s="1"/>
  <c r="T43" i="7" s="1"/>
  <c r="T44" i="7" s="1"/>
  <c r="W31" i="7"/>
  <c r="S60" i="7"/>
  <c r="S54" i="7"/>
  <c r="V63" i="9"/>
  <c r="V57" i="9"/>
  <c r="W22" i="9"/>
  <c r="S66" i="9"/>
  <c r="T61" i="9"/>
  <c r="V47" i="9" l="1"/>
  <c r="V43" i="9"/>
  <c r="X19" i="7"/>
  <c r="X30" i="7"/>
  <c r="X12" i="14" s="1"/>
  <c r="Y34" i="9"/>
  <c r="Y37" i="9" s="1"/>
  <c r="C33" i="6"/>
  <c r="E33" i="6"/>
  <c r="D33" i="6"/>
  <c r="T40" i="7"/>
  <c r="U40" i="7" s="1"/>
  <c r="T60" i="7"/>
  <c r="T54" i="7"/>
  <c r="U44" i="7"/>
  <c r="O62" i="9"/>
  <c r="O65" i="9"/>
  <c r="P58" i="9"/>
  <c r="X59" i="9"/>
  <c r="X60" i="9" s="1"/>
  <c r="X37" i="9"/>
  <c r="Y59" i="9"/>
  <c r="Y60" i="9" s="1"/>
  <c r="X31" i="7"/>
  <c r="W59" i="9"/>
  <c r="W60" i="9" s="1"/>
  <c r="W37" i="9"/>
  <c r="X16" i="12"/>
  <c r="Y10" i="12"/>
  <c r="X17" i="12"/>
  <c r="M62" i="7"/>
  <c r="N55" i="7"/>
  <c r="M59" i="7"/>
  <c r="U33" i="7"/>
  <c r="U53" i="7" s="1"/>
  <c r="U13" i="12"/>
  <c r="U14" i="12" s="1"/>
  <c r="V63" i="7"/>
  <c r="Y10" i="14"/>
  <c r="X13" i="14"/>
  <c r="V34" i="7"/>
  <c r="Y29" i="7"/>
  <c r="Y27" i="7"/>
  <c r="Y24" i="7"/>
  <c r="Y19" i="7"/>
  <c r="Y56" i="7" s="1"/>
  <c r="Y57" i="7" s="1"/>
  <c r="Y14" i="7"/>
  <c r="Y28" i="7"/>
  <c r="Y25" i="7"/>
  <c r="Y22" i="7"/>
  <c r="Y23" i="7" s="1"/>
  <c r="Y18" i="7"/>
  <c r="Y30" i="7" s="1"/>
  <c r="Y12" i="14" s="1"/>
  <c r="E15" i="14" s="1"/>
  <c r="Y26" i="7"/>
  <c r="W56" i="7"/>
  <c r="W57" i="7" s="1"/>
  <c r="W58" i="7" s="1"/>
  <c r="W34" i="7"/>
  <c r="U61" i="9"/>
  <c r="T66" i="9"/>
  <c r="Y39" i="9" l="1"/>
  <c r="Y36" i="9" s="1"/>
  <c r="W63" i="7"/>
  <c r="Y13" i="14"/>
  <c r="W39" i="9"/>
  <c r="W36" i="9" s="1"/>
  <c r="W56" i="9" s="1"/>
  <c r="N62" i="7"/>
  <c r="O55" i="7"/>
  <c r="N59" i="7"/>
  <c r="Y16" i="12"/>
  <c r="Y17" i="12"/>
  <c r="X39" i="9"/>
  <c r="X36" i="9" s="1"/>
  <c r="X56" i="9" s="1"/>
  <c r="W36" i="7"/>
  <c r="W37" i="7"/>
  <c r="W39" i="7" s="1"/>
  <c r="W43" i="7" s="1"/>
  <c r="Y31" i="7"/>
  <c r="V36" i="7"/>
  <c r="V37" i="7"/>
  <c r="V39" i="7" s="1"/>
  <c r="V43" i="7" s="1"/>
  <c r="V44" i="7" s="1"/>
  <c r="W44" i="7" s="1"/>
  <c r="P62" i="9"/>
  <c r="Q58" i="9"/>
  <c r="P65" i="9"/>
  <c r="V40" i="7"/>
  <c r="W40" i="7" s="1"/>
  <c r="X56" i="7"/>
  <c r="X57" i="7" s="1"/>
  <c r="X58" i="7" s="1"/>
  <c r="X34" i="7"/>
  <c r="Y34" i="7"/>
  <c r="U60" i="7"/>
  <c r="U54" i="7"/>
  <c r="U66" i="9"/>
  <c r="V61" i="9"/>
  <c r="W40" i="9" l="1"/>
  <c r="W42" i="9" s="1"/>
  <c r="W43" i="9" s="1"/>
  <c r="X40" i="9"/>
  <c r="X42" i="9" s="1"/>
  <c r="X46" i="9" s="1"/>
  <c r="X63" i="7"/>
  <c r="Y58" i="7"/>
  <c r="W63" i="9"/>
  <c r="W57" i="9"/>
  <c r="Y36" i="7"/>
  <c r="Y13" i="12" s="1"/>
  <c r="Y14" i="12" s="1"/>
  <c r="W33" i="7"/>
  <c r="W53" i="7" s="1"/>
  <c r="W13" i="12"/>
  <c r="W14" i="12" s="1"/>
  <c r="X36" i="7"/>
  <c r="Q62" i="9"/>
  <c r="R58" i="9"/>
  <c r="Q65" i="9"/>
  <c r="V13" i="12"/>
  <c r="V14" i="12" s="1"/>
  <c r="V33" i="7"/>
  <c r="V53" i="7" s="1"/>
  <c r="O62" i="7"/>
  <c r="P55" i="7"/>
  <c r="O59" i="7"/>
  <c r="Y56" i="9"/>
  <c r="E51" i="9"/>
  <c r="X63" i="9"/>
  <c r="X57" i="9"/>
  <c r="Y40" i="9"/>
  <c r="Y42" i="9" s="1"/>
  <c r="V66" i="9"/>
  <c r="W61" i="9"/>
  <c r="W46" i="9" l="1"/>
  <c r="W47" i="9" s="1"/>
  <c r="X47" i="9" s="1"/>
  <c r="X43" i="9"/>
  <c r="Y43" i="9" s="1"/>
  <c r="E52" i="9" s="1" a="1"/>
  <c r="E52" i="9" s="1"/>
  <c r="Y63" i="9"/>
  <c r="Y57" i="9"/>
  <c r="Y63" i="7"/>
  <c r="V60" i="7"/>
  <c r="V54" i="7"/>
  <c r="W60" i="7"/>
  <c r="W54" i="7"/>
  <c r="X13" i="12"/>
  <c r="X14" i="12" s="1"/>
  <c r="E19" i="12" s="1"/>
  <c r="E14" i="16" s="1"/>
  <c r="X33" i="7"/>
  <c r="X53" i="7" s="1"/>
  <c r="Y33" i="7"/>
  <c r="P62" i="7"/>
  <c r="Q55" i="7"/>
  <c r="P59" i="7"/>
  <c r="X37" i="7"/>
  <c r="X39" i="7" s="1"/>
  <c r="Y37" i="7"/>
  <c r="Y39" i="7" s="1"/>
  <c r="Y46" i="9"/>
  <c r="E50" i="9"/>
  <c r="E49" i="9"/>
  <c r="S58" i="9"/>
  <c r="R62" i="9"/>
  <c r="R65" i="9"/>
  <c r="W66" i="9"/>
  <c r="X61" i="9"/>
  <c r="Y47" i="9" l="1"/>
  <c r="E53" i="9" s="1" a="1"/>
  <c r="E53" i="9" s="1"/>
  <c r="E46" i="7"/>
  <c r="E47" i="7"/>
  <c r="Y43" i="7"/>
  <c r="Q62" i="7"/>
  <c r="R55" i="7"/>
  <c r="Q59" i="7"/>
  <c r="E20" i="12"/>
  <c r="T58" i="9"/>
  <c r="S62" i="9"/>
  <c r="S65" i="9"/>
  <c r="D29" i="13"/>
  <c r="E17" i="16"/>
  <c r="X43" i="7"/>
  <c r="X44" i="7" s="1"/>
  <c r="Y44" i="7" s="1"/>
  <c r="E50" i="7" s="1" a="1"/>
  <c r="E50" i="7" s="1"/>
  <c r="X40" i="7"/>
  <c r="Y40" i="7" s="1"/>
  <c r="E48" i="7"/>
  <c r="Y53" i="7"/>
  <c r="E29" i="13"/>
  <c r="E18" i="16"/>
  <c r="X60" i="7"/>
  <c r="X54" i="7"/>
  <c r="Y61" i="9"/>
  <c r="X66" i="9"/>
  <c r="Y60" i="7" l="1"/>
  <c r="Y54" i="7"/>
  <c r="T65" i="9"/>
  <c r="T62" i="9"/>
  <c r="U58" i="9"/>
  <c r="J49" i="7" a="1"/>
  <c r="J49" i="7" s="1"/>
  <c r="E49" i="7" a="1"/>
  <c r="E49" i="7" s="1"/>
  <c r="H49" i="7" a="1"/>
  <c r="H49" i="7" s="1"/>
  <c r="E16" i="16"/>
  <c r="C29" i="13"/>
  <c r="R62" i="7"/>
  <c r="S55" i="7"/>
  <c r="R59" i="7"/>
  <c r="E15" i="16"/>
  <c r="B29" i="13"/>
  <c r="Y66" i="9"/>
  <c r="S62" i="7" l="1"/>
  <c r="T55" i="7"/>
  <c r="S59" i="7"/>
  <c r="U62" i="9"/>
  <c r="V58" i="9"/>
  <c r="U65" i="9"/>
  <c r="T62" i="7" l="1"/>
  <c r="U55" i="7"/>
  <c r="T59" i="7"/>
  <c r="V65" i="9"/>
  <c r="W58" i="9"/>
  <c r="V62" i="9"/>
  <c r="U62" i="7" l="1"/>
  <c r="V55" i="7"/>
  <c r="U59" i="7"/>
  <c r="W62" i="9"/>
  <c r="W65" i="9"/>
  <c r="X58" i="9"/>
  <c r="V62" i="7" l="1"/>
  <c r="W55" i="7"/>
  <c r="V59" i="7"/>
  <c r="X62" i="9"/>
  <c r="X65" i="9"/>
  <c r="Y58" i="9"/>
  <c r="W62" i="7" l="1"/>
  <c r="X55" i="7"/>
  <c r="W59" i="7"/>
  <c r="Y65" i="9"/>
  <c r="Y62" i="9"/>
  <c r="X62" i="7" l="1"/>
  <c r="Y55" i="7"/>
  <c r="X59" i="7"/>
  <c r="Y62" i="7" l="1"/>
  <c r="Y59" i="7"/>
</calcChain>
</file>

<file path=xl/sharedStrings.xml><?xml version="1.0" encoding="utf-8"?>
<sst xmlns="http://schemas.openxmlformats.org/spreadsheetml/2006/main" count="362" uniqueCount="222">
  <si>
    <t>SET SOFTVERSKOG ALATA ZA ANALIZU EFIKASNOSTI MERA KOJE IMPLEMENTIRAJU KOMPANIJE ZA DALJINSKO GREJANJE</t>
  </si>
  <si>
    <t>EUR</t>
  </si>
  <si>
    <t>Izabrati meru koja se analizira</t>
  </si>
  <si>
    <t>Podsticaji</t>
  </si>
  <si>
    <t>Grant finansijske institucije</t>
  </si>
  <si>
    <t>Grant lokalne samouprave</t>
  </si>
  <si>
    <t>Grant Uprave za EE i OIE</t>
  </si>
  <si>
    <t>Grant zelenih fondova</t>
  </si>
  <si>
    <t>Učešće krajnjih korisnika</t>
  </si>
  <si>
    <t>Fiksno</t>
  </si>
  <si>
    <t>Investicija</t>
  </si>
  <si>
    <t>Ostalo</t>
  </si>
  <si>
    <t>Konver.F.</t>
  </si>
  <si>
    <t>Prirodni gas</t>
  </si>
  <si>
    <t>Tečni naftni gas</t>
  </si>
  <si>
    <t>Lož-ulje</t>
  </si>
  <si>
    <t>Mazut</t>
  </si>
  <si>
    <t>Električna energija</t>
  </si>
  <si>
    <t>Drvo</t>
  </si>
  <si>
    <t>Mrki ugalj</t>
  </si>
  <si>
    <t>Lignit</t>
  </si>
  <si>
    <t>Solarna energija</t>
  </si>
  <si>
    <t>EUR ili -</t>
  </si>
  <si>
    <t>MWh/a</t>
  </si>
  <si>
    <t>Period</t>
  </si>
  <si>
    <t>NPV (EUR)</t>
  </si>
  <si>
    <t>IRR (%)</t>
  </si>
  <si>
    <t>LCoEE (EUR/MWh):</t>
  </si>
  <si>
    <r>
      <t>LCoCO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(EUR/t</t>
    </r>
    <r>
      <rPr>
        <vertAlign val="subscript"/>
        <sz val="11"/>
        <color theme="0"/>
        <rFont val="Calibri"/>
        <family val="2"/>
        <scheme val="minor"/>
      </rPr>
      <t>CO2 eq</t>
    </r>
    <r>
      <rPr>
        <sz val="11"/>
        <color theme="0"/>
        <rFont val="Calibri"/>
        <family val="2"/>
        <scheme val="minor"/>
      </rPr>
      <t>):</t>
    </r>
  </si>
  <si>
    <t>RSD/MWh</t>
  </si>
  <si>
    <t xml:space="preserve"> -</t>
  </si>
  <si>
    <t>Sopstveni kapital</t>
  </si>
  <si>
    <t>MW</t>
  </si>
  <si>
    <t>RSD/t</t>
  </si>
  <si>
    <r>
      <t>RSD/t</t>
    </r>
    <r>
      <rPr>
        <vertAlign val="subscript"/>
        <sz val="11"/>
        <color theme="1"/>
        <rFont val="Calibri"/>
        <family val="2"/>
        <scheme val="minor"/>
      </rPr>
      <t>ATRO</t>
    </r>
  </si>
  <si>
    <r>
      <t>t</t>
    </r>
    <r>
      <rPr>
        <vertAlign val="subscript"/>
        <sz val="11"/>
        <color theme="1"/>
        <rFont val="Calibri"/>
        <family val="2"/>
        <scheme val="minor"/>
      </rPr>
      <t>ATRO</t>
    </r>
    <r>
      <rPr>
        <sz val="11"/>
        <color theme="1"/>
        <rFont val="Calibri"/>
        <family val="2"/>
        <scheme val="minor"/>
      </rPr>
      <t>/a</t>
    </r>
  </si>
  <si>
    <t>Modernizacija toplotnih podstanica</t>
  </si>
  <si>
    <t>Ugradnja cirkulacione pumpe sa promenljivim brojem obrtaja</t>
  </si>
  <si>
    <t>Kompenzacija snage - elektro</t>
  </si>
  <si>
    <t>Termoizolacija cevovoda i opreme</t>
  </si>
  <si>
    <t>Instalacija SCADA</t>
  </si>
  <si>
    <t>Ugradnja rekuperatora toplote u dimovodni trakt</t>
  </si>
  <si>
    <t>Rekonstrukcija distributivne mreže</t>
  </si>
  <si>
    <t>Ugradnja toplotne pumpe i povezivanje na sekundar TPS</t>
  </si>
  <si>
    <t>Toplotna pumpa velikog kapaciteta</t>
  </si>
  <si>
    <t>Foto-naponska instalacija</t>
  </si>
  <si>
    <t>Ugradnja termal-solar sistema u zgradi</t>
  </si>
  <si>
    <t>Termal-solar velikog kapaciteta</t>
  </si>
  <si>
    <t>Kotao na drvnu sečku</t>
  </si>
  <si>
    <t>Izračunavanje cene toplote</t>
  </si>
  <si>
    <t>Termoizolacija omotača zgrade</t>
  </si>
  <si>
    <t>Zamena stolarije</t>
  </si>
  <si>
    <t>Projekat</t>
  </si>
  <si>
    <t>Priprema projekta (projekti, dozvole, ostalo)</t>
  </si>
  <si>
    <t>Nadzor i upravljanje projektom</t>
  </si>
  <si>
    <t>Prateća oprema i materijali - nabavka</t>
  </si>
  <si>
    <t>Prateća oprema i materijali - ugradnja</t>
  </si>
  <si>
    <t>Kotla/kotlovi na drvnu sečku - nabavka</t>
  </si>
  <si>
    <t>Kotao/kotlovi na drvnu sečku - ugradnja</t>
  </si>
  <si>
    <t>Građevinski radovi</t>
  </si>
  <si>
    <t>Elektro energetske instalacije</t>
  </si>
  <si>
    <t>Upravljački deo i SCADA</t>
  </si>
  <si>
    <t>Primopredaja postrojenja</t>
  </si>
  <si>
    <t>ESCO/DG operativni troškovi</t>
  </si>
  <si>
    <t>Udeo u uštedama ako gradi ESCO</t>
  </si>
  <si>
    <t>Troškovi održavanja</t>
  </si>
  <si>
    <t>Amortizacija i depresijacija</t>
  </si>
  <si>
    <r>
      <t>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Taksa</t>
    </r>
  </si>
  <si>
    <r>
      <t>Konverzioni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faktor - t/MWh primarne energije</t>
    </r>
  </si>
  <si>
    <t>Period otplate ili period garantovane usluge</t>
  </si>
  <si>
    <t>Vremenski okvir projekta</t>
  </si>
  <si>
    <t>Diskontna stopa</t>
  </si>
  <si>
    <t>Kamata na sredstva iz kredita</t>
  </si>
  <si>
    <t>Gorivo ili energija</t>
  </si>
  <si>
    <t>UNOS PODATAKA ZA PRORAČUN</t>
  </si>
  <si>
    <t>Ukupno:</t>
  </si>
  <si>
    <t>Ukupno uključujući PDV:</t>
  </si>
  <si>
    <t>CO2 Taksa</t>
  </si>
  <si>
    <t>Konverzioni CO2 faktor - t/MWh primarne energije</t>
  </si>
  <si>
    <t>UKUPNO:</t>
  </si>
  <si>
    <t>KREDIT:</t>
  </si>
  <si>
    <t>ENERGIJA I TROŠKOVI ENERGIJE</t>
  </si>
  <si>
    <t>Proizvodnja toplote</t>
  </si>
  <si>
    <t>Cena električne energije</t>
  </si>
  <si>
    <t>Cena toplote za krajnje kupce</t>
  </si>
  <si>
    <t>Cena drvne sečke</t>
  </si>
  <si>
    <t>Stepen korisnosti kotla</t>
  </si>
  <si>
    <t>Efikasnost mreže daljinskog grejanja</t>
  </si>
  <si>
    <t>Toplotni kapacitet kotla</t>
  </si>
  <si>
    <t>Snaga elektromotornih pogona</t>
  </si>
  <si>
    <t>Broj sati rada sa nazivnim kapacitetom</t>
  </si>
  <si>
    <t>Potrošnja drvne sečke</t>
  </si>
  <si>
    <t>Troškovi odstranjivanje pepela</t>
  </si>
  <si>
    <r>
      <t>Referentno gorivo za proračun emisije CO</t>
    </r>
    <r>
      <rPr>
        <vertAlign val="subscript"/>
        <sz val="11"/>
        <color theme="1"/>
        <rFont val="Calibri"/>
        <family val="2"/>
        <scheme val="minor"/>
      </rPr>
      <t>2</t>
    </r>
  </si>
  <si>
    <t>Da li je drvna biomasa sertifikovana</t>
  </si>
  <si>
    <r>
      <t>Smanjenje emisije CO</t>
    </r>
    <r>
      <rPr>
        <vertAlign val="subscript"/>
        <sz val="11"/>
        <color theme="1"/>
        <rFont val="Calibri"/>
        <family val="2"/>
        <scheme val="minor"/>
      </rPr>
      <t>2</t>
    </r>
  </si>
  <si>
    <t>IZRAČUNAVANJE ANUITETA</t>
  </si>
  <si>
    <t>Iznos kredita:</t>
  </si>
  <si>
    <t>Preostali iznos glavnice (EUR)</t>
  </si>
  <si>
    <t>Kamata = Troškovi kredita (EUR)</t>
  </si>
  <si>
    <t>Anuiteti (EUR)</t>
  </si>
  <si>
    <t>FINANSIJSKI INDIKATORI</t>
  </si>
  <si>
    <t>Kredit (EUR)</t>
  </si>
  <si>
    <t>Sopstveni kapital (EUR)</t>
  </si>
  <si>
    <t>Proizvodnja toplote (MWh/a)</t>
  </si>
  <si>
    <t>Potrošnja električne energije (MWh/a)</t>
  </si>
  <si>
    <t>Prodaja toplote (EUR/a)</t>
  </si>
  <si>
    <t>Ukupna prihod (EUR)</t>
  </si>
  <si>
    <t>Troškovi finansiranja - kamate (EUR/a)</t>
  </si>
  <si>
    <t>Operativni troškovi (EUR/a)</t>
  </si>
  <si>
    <t>Troškovi održavanja (EUR/a)</t>
  </si>
  <si>
    <t>Troškovi drvne sečke (EUR/a)</t>
  </si>
  <si>
    <t>Troškovi električne energije (EUR/a)</t>
  </si>
  <si>
    <t>Ostalo (EUR/a)</t>
  </si>
  <si>
    <t>Ukupno godišnji troškovi (EUR/a)</t>
  </si>
  <si>
    <t>Porez na dobit</t>
  </si>
  <si>
    <t>Dobit nakon oporezivanja (EUR/a)</t>
  </si>
  <si>
    <t>Graf - Troškovi diskontovano kumul.</t>
  </si>
  <si>
    <t>Graf - Prihodi diskontovano kumul.</t>
  </si>
  <si>
    <t>Vremenski okvir</t>
  </si>
  <si>
    <r>
      <t>Smanjenje 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</si>
  <si>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r>
      <t>Prihodi od karbon taksi (CO</t>
    </r>
    <r>
      <rPr>
        <vertAlign val="subscript"/>
        <sz val="11"/>
        <color theme="1"/>
        <rFont val="Calibri"/>
        <family val="2"/>
        <scheme val="minor"/>
      </rPr>
      <t>2)</t>
    </r>
  </si>
  <si>
    <t>Ukupan prihod (EUR)</t>
  </si>
  <si>
    <t>Finanijski troškovi - kamate (EUR/a)</t>
  </si>
  <si>
    <t>Troškovi električne energije (EUR/MWh)</t>
  </si>
  <si>
    <t>Ukupni godišnji troškovi (EUR/a)</t>
  </si>
  <si>
    <t>GRAFIK / CASH FLOW / FINANSIJSKI</t>
  </si>
  <si>
    <t>GRAFIK / CASH FLOW / EKONOMSKI</t>
  </si>
  <si>
    <t>LCoE PRORAČUN</t>
  </si>
  <si>
    <t>Investicija (EUR)</t>
  </si>
  <si>
    <t>Operativni troškovi i održavanje (EUR)</t>
  </si>
  <si>
    <t>Ukupni troškovi (EUR)</t>
  </si>
  <si>
    <t>ANALIZA OSETLJIVOSTI</t>
  </si>
  <si>
    <t>Ugradnja TS ventila i delitelja troškova</t>
  </si>
  <si>
    <t>Nepredviđeni troškovi</t>
  </si>
  <si>
    <t>Kamatna stopa na sredstva iz kredita</t>
  </si>
  <si>
    <t>Ostalo - odnošenje pepela(EUR/a)</t>
  </si>
  <si>
    <t>ESCO INVESTICIJA</t>
  </si>
  <si>
    <t>N/A</t>
  </si>
  <si>
    <t>NAZAD</t>
  </si>
  <si>
    <t>DALJE</t>
  </si>
  <si>
    <t>Udeo u uštedama ako gradi ESCO (EUR/a)</t>
  </si>
  <si>
    <t>REZIME PROJEKTA</t>
  </si>
  <si>
    <t>Investiciona vrednost (EUR)</t>
  </si>
  <si>
    <t>Subvencije (EUR)</t>
  </si>
  <si>
    <t>LCoE(EE) (EUR/MWh)</t>
  </si>
  <si>
    <t>Udeo u uštedama ako gradi ESCO (EUR)</t>
  </si>
  <si>
    <t>Diskontovana vrednost udela (EUR)</t>
  </si>
  <si>
    <t>Miks goriva</t>
  </si>
  <si>
    <t>Prinos na sopstveni kapital</t>
  </si>
  <si>
    <t>Finansijska diskontna stopa</t>
  </si>
  <si>
    <t>Grantovi</t>
  </si>
  <si>
    <t>Kredit</t>
  </si>
  <si>
    <t>Ukupno</t>
  </si>
  <si>
    <t>Projekat “Bolja energija"</t>
  </si>
  <si>
    <t>Grantovi (EUR)</t>
  </si>
  <si>
    <t>Otplata glavnice (EUR/a)</t>
  </si>
  <si>
    <t>PRIHODI</t>
  </si>
  <si>
    <t>TROŠKOVI</t>
  </si>
  <si>
    <t>Amortizacija (EUR)</t>
  </si>
  <si>
    <t>Ukupno troškovi cash flow</t>
  </si>
  <si>
    <t>BRUTO DOBIT (EUR/a)</t>
  </si>
  <si>
    <t>Neto gotovinski tok</t>
  </si>
  <si>
    <t>Kumulativni gotovinski tok</t>
  </si>
  <si>
    <t>Diskontovani gotovinski tok</t>
  </si>
  <si>
    <t>Kumulativni diskontovani gotovinski tok</t>
  </si>
  <si>
    <t>Neto sadašnja vrednost</t>
  </si>
  <si>
    <t>Interna stopa povraćaja</t>
  </si>
  <si>
    <t>Odnos rezultata i troškova</t>
  </si>
  <si>
    <t>Period povraćaja</t>
  </si>
  <si>
    <t>Diskontovani period povraćaja</t>
  </si>
  <si>
    <t>Nominalni troškovi</t>
  </si>
  <si>
    <t>Diskontovani troškovi</t>
  </si>
  <si>
    <t>Diskontovani troškovi, kumul.</t>
  </si>
  <si>
    <t>Nominalni prihodi</t>
  </si>
  <si>
    <t>Diskontovani prihodi</t>
  </si>
  <si>
    <t>Diskontovani prihodi, kumul.</t>
  </si>
  <si>
    <t>Bruto dobit, diskontovano, kumulativno</t>
  </si>
  <si>
    <t>Cena koštanja (EUR/MWh)</t>
  </si>
  <si>
    <t>godina</t>
  </si>
  <si>
    <t>NPV</t>
  </si>
  <si>
    <t>IRR</t>
  </si>
  <si>
    <t>Bazni slučaj</t>
  </si>
  <si>
    <t>NPV = 0</t>
  </si>
  <si>
    <t>Cena toplote</t>
  </si>
  <si>
    <t>Investicije</t>
  </si>
  <si>
    <r>
      <t>Cena toplote sa CO</t>
    </r>
    <r>
      <rPr>
        <sz val="11"/>
        <color theme="1"/>
        <rFont val="Calibri"/>
        <family val="2"/>
      </rPr>
      <t>₂</t>
    </r>
  </si>
  <si>
    <r>
      <t>Bez CO</t>
    </r>
    <r>
      <rPr>
        <b/>
        <sz val="11"/>
        <color theme="1"/>
        <rFont val="Calibri"/>
        <family val="2"/>
      </rPr>
      <t>₂</t>
    </r>
  </si>
  <si>
    <r>
      <t>Sa CO</t>
    </r>
    <r>
      <rPr>
        <sz val="11"/>
        <color theme="1"/>
        <rFont val="Calibri"/>
        <family val="2"/>
      </rPr>
      <t>₂</t>
    </r>
  </si>
  <si>
    <t>Cena drvne sečke sa CO₂</t>
  </si>
  <si>
    <t>Investicije sa CO?</t>
  </si>
  <si>
    <t>ANALIZA SA UKLJUČENIM CO₂</t>
  </si>
  <si>
    <t>Toplota iz toplana</t>
  </si>
  <si>
    <t>KONVERZIONI FAKTOR ZA MIKS GORIVA</t>
  </si>
  <si>
    <t>GORIVO</t>
  </si>
  <si>
    <t>Primarna energija</t>
  </si>
  <si>
    <t>Emisioni faktor</t>
  </si>
  <si>
    <r>
      <t>Emisija CO</t>
    </r>
    <r>
      <rPr>
        <b/>
        <vertAlign val="subscript"/>
        <sz val="11"/>
        <color theme="0"/>
        <rFont val="Calibri"/>
        <family val="2"/>
        <scheme val="minor"/>
      </rPr>
      <t>2</t>
    </r>
  </si>
  <si>
    <t>-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</si>
  <si>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/a</t>
    </r>
  </si>
  <si>
    <t>Gorivo</t>
  </si>
  <si>
    <t>Konverzioni faktor za miks goriva koje se koristi u daljinskom grejanju:</t>
  </si>
  <si>
    <r>
      <t>t</t>
    </r>
    <r>
      <rPr>
        <b/>
        <vertAlign val="subscript"/>
        <sz val="11"/>
        <color theme="0"/>
        <rFont val="Calibri"/>
        <family val="2"/>
        <scheme val="minor"/>
      </rPr>
      <t>CO2</t>
    </r>
    <r>
      <rPr>
        <b/>
        <sz val="11"/>
        <color theme="0"/>
        <rFont val="Calibri"/>
        <family val="2"/>
        <scheme val="minor"/>
      </rPr>
      <t>/MWh</t>
    </r>
  </si>
  <si>
    <t>GORIVA</t>
  </si>
  <si>
    <r>
      <t>t</t>
    </r>
    <r>
      <rPr>
        <vertAlign val="subscript"/>
        <sz val="11"/>
        <color theme="1"/>
        <rFont val="Calibri"/>
        <family val="2"/>
        <scheme val="minor"/>
      </rPr>
      <t>CO2</t>
    </r>
    <r>
      <rPr>
        <sz val="11"/>
        <color theme="1"/>
        <rFont val="Calibri"/>
        <family val="2"/>
        <scheme val="minor"/>
      </rPr>
      <t>/MWh</t>
    </r>
  </si>
  <si>
    <t>Kameni ugalj</t>
  </si>
  <si>
    <t>Lož ulje</t>
  </si>
  <si>
    <t>TNG</t>
  </si>
  <si>
    <t>Drvo (nesertifikovano)</t>
  </si>
  <si>
    <t>Drvo sertifikovano</t>
  </si>
  <si>
    <t>Suncokret ljuska</t>
  </si>
  <si>
    <t>Toplota (kupljena)</t>
  </si>
  <si>
    <t>Električna energija OIE</t>
  </si>
  <si>
    <t>Toplota iz DH</t>
  </si>
  <si>
    <r>
      <t>NPV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  <scheme val="minor"/>
      </rPr>
      <t xml:space="preserve"> (EUR)</t>
    </r>
  </si>
  <si>
    <r>
      <t>IRR CO</t>
    </r>
    <r>
      <rPr>
        <vertAlign val="subscript"/>
        <sz val="11"/>
        <color theme="0"/>
        <rFont val="Calibri"/>
        <family val="2"/>
        <scheme val="minor"/>
      </rPr>
      <t>2</t>
    </r>
    <r>
      <rPr>
        <sz val="11"/>
        <color theme="0"/>
        <rFont val="Calibri"/>
        <family val="2"/>
      </rPr>
      <t xml:space="preserve"> </t>
    </r>
    <r>
      <rPr>
        <sz val="11"/>
        <color theme="0"/>
        <rFont val="Calibri"/>
        <family val="2"/>
        <scheme val="minor"/>
      </rPr>
      <t>(%)</t>
    </r>
  </si>
  <si>
    <r>
      <t>Emisija CO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 xml:space="preserve"> (t/a)</t>
    </r>
  </si>
  <si>
    <t>Veći stepen konverzije</t>
  </si>
  <si>
    <t>Manji stepen konverzije</t>
  </si>
  <si>
    <t>Konverzioni faktor se povećava</t>
  </si>
  <si>
    <t>Konverzioni faktor se smanjuje</t>
  </si>
  <si>
    <t>Drvo (sertifikovano)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</si>
</sst>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,##0.00_ ;[Red]\-#,##0.00\ "/>
    <numFmt numFmtId="165" formatCode="0.0"/>
    <numFmt numFmtId="166" formatCode="0.000"/>
    <numFmt numFmtId="167" formatCode="#,##0_ ;[Red]\-#,##0\ "/>
  </numFmts>
  <fonts count="20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vertAlign val="subscript"/>
      <sz val="11"/>
      <color theme="1"/>
      <name val="Calibri"/>
      <family val="2"/>
      <scheme val="minor"/>
    </font>
    <font>
      <b/>
      <sz val="28"/>
      <color theme="0"/>
      <name val="Calibri"/>
      <family val="2"/>
      <scheme val="minor"/>
    </font>
    <font>
      <vertAlign val="subscript"/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u/>
      <sz val="14"/>
      <color theme="0"/>
      <name val="Calibri"/>
      <family val="2"/>
      <scheme val="minor"/>
    </font>
    <font>
      <b/>
      <u/>
      <sz val="14"/>
      <name val="Calibri"/>
      <family val="2"/>
      <scheme val="minor"/>
    </font>
    <font>
      <sz val="9"/>
      <color rgb="FF002F6C"/>
      <name val="Gill Sans MT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b/>
      <sz val="16"/>
      <color rgb="FFFFFFFF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C0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indexed="64"/>
      </patternFill>
    </fill>
    <fill>
      <gradientFill degree="90">
        <stop position="0">
          <color theme="0"/>
        </stop>
        <stop position="0.5">
          <color rgb="FFC00000"/>
        </stop>
        <stop position="1">
          <color theme="0"/>
        </stop>
      </gradientFill>
    </fill>
    <fill>
      <gradientFill degree="90">
        <stop position="0">
          <color theme="0"/>
        </stop>
        <stop position="0.5">
          <color rgb="FF00B050"/>
        </stop>
        <stop position="1">
          <color theme="0"/>
        </stop>
      </gradientFill>
    </fill>
    <fill>
      <patternFill patternType="solid">
        <fgColor theme="9" tint="0.79998168889431442"/>
        <bgColor indexed="64"/>
      </patternFill>
    </fill>
    <fill>
      <patternFill patternType="solid">
        <fgColor rgb="FF002060"/>
        <bgColor rgb="FF000000"/>
      </patternFill>
    </fill>
  </fills>
  <borders count="4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12" fillId="0" borderId="0" applyFont="0" applyFill="0" applyBorder="0" applyAlignment="0" applyProtection="0"/>
  </cellStyleXfs>
  <cellXfs count="86">
    <xf numFmtId="0" fontId="0" fillId="0" borderId="0" xfId="0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4" fontId="0" fillId="0" borderId="0" xfId="0" applyNumberFormat="1"/>
    <xf numFmtId="0" fontId="2" fillId="2" borderId="0" xfId="0" applyFont="1" applyFill="1"/>
    <xf numFmtId="0" fontId="2" fillId="3" borderId="0" xfId="0" applyFont="1" applyFill="1"/>
    <xf numFmtId="0" fontId="0" fillId="0" borderId="0" xfId="0" applyAlignment="1">
      <alignment horizontal="center"/>
    </xf>
    <xf numFmtId="10" fontId="0" fillId="0" borderId="0" xfId="0" applyNumberFormat="1"/>
    <xf numFmtId="2" fontId="0" fillId="0" borderId="0" xfId="0" applyNumberFormat="1"/>
    <xf numFmtId="4" fontId="0" fillId="0" borderId="0" xfId="0" applyNumberFormat="1" applyProtection="1">
      <protection locked="0"/>
    </xf>
    <xf numFmtId="1" fontId="0" fillId="0" borderId="0" xfId="0" applyNumberFormat="1"/>
    <xf numFmtId="0" fontId="1" fillId="0" borderId="0" xfId="0" applyFont="1"/>
    <xf numFmtId="0" fontId="0" fillId="0" borderId="0" xfId="0" applyAlignment="1">
      <alignment vertical="distributed"/>
    </xf>
    <xf numFmtId="3" fontId="0" fillId="0" borderId="0" xfId="0" applyNumberFormat="1"/>
    <xf numFmtId="4" fontId="2" fillId="4" borderId="0" xfId="0" applyNumberFormat="1" applyFont="1" applyFill="1"/>
    <xf numFmtId="4" fontId="0" fillId="0" borderId="0" xfId="0" applyNumberFormat="1" applyAlignment="1">
      <alignment horizontal="right"/>
    </xf>
    <xf numFmtId="0" fontId="1" fillId="4" borderId="0" xfId="0" applyFont="1" applyFill="1" applyAlignment="1">
      <alignment horizontal="center"/>
    </xf>
    <xf numFmtId="0" fontId="2" fillId="4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9" fontId="0" fillId="0" borderId="0" xfId="0" applyNumberFormat="1"/>
    <xf numFmtId="0" fontId="2" fillId="4" borderId="0" xfId="0" applyFont="1" applyFill="1"/>
    <xf numFmtId="0" fontId="0" fillId="0" borderId="0" xfId="0" applyAlignment="1">
      <alignment horizontal="left"/>
    </xf>
    <xf numFmtId="4" fontId="0" fillId="0" borderId="0" xfId="0" applyNumberFormat="1" applyAlignment="1">
      <alignment horizontal="center"/>
    </xf>
    <xf numFmtId="10" fontId="2" fillId="4" borderId="0" xfId="0" applyNumberFormat="1" applyFont="1" applyFill="1"/>
    <xf numFmtId="10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0" fontId="2" fillId="0" borderId="0" xfId="0" applyFont="1"/>
    <xf numFmtId="4" fontId="7" fillId="0" borderId="0" xfId="0" applyNumberFormat="1" applyFont="1"/>
    <xf numFmtId="4" fontId="0" fillId="5" borderId="0" xfId="0" applyNumberFormat="1" applyFill="1"/>
    <xf numFmtId="0" fontId="0" fillId="5" borderId="0" xfId="0" applyFill="1"/>
    <xf numFmtId="0" fontId="7" fillId="0" borderId="0" xfId="0" applyFont="1" applyAlignment="1">
      <alignment horizontal="left"/>
    </xf>
    <xf numFmtId="0" fontId="7" fillId="8" borderId="0" xfId="0" applyFont="1" applyFill="1" applyAlignment="1">
      <alignment horizontal="left"/>
    </xf>
    <xf numFmtId="0" fontId="2" fillId="8" borderId="0" xfId="0" applyFont="1" applyFill="1" applyAlignment="1">
      <alignment horizontal="center"/>
    </xf>
    <xf numFmtId="0" fontId="0" fillId="8" borderId="0" xfId="0" applyFill="1" applyAlignment="1">
      <alignment horizontal="left"/>
    </xf>
    <xf numFmtId="164" fontId="0" fillId="8" borderId="0" xfId="0" applyNumberFormat="1" applyFill="1"/>
    <xf numFmtId="10" fontId="0" fillId="8" borderId="0" xfId="0" applyNumberFormat="1" applyFill="1"/>
    <xf numFmtId="0" fontId="0" fillId="8" borderId="0" xfId="0" applyFill="1"/>
    <xf numFmtId="4" fontId="0" fillId="8" borderId="0" xfId="0" applyNumberFormat="1" applyFill="1"/>
    <xf numFmtId="165" fontId="0" fillId="8" borderId="0" xfId="0" applyNumberFormat="1" applyFill="1"/>
    <xf numFmtId="166" fontId="0" fillId="0" borderId="0" xfId="0" applyNumberFormat="1"/>
    <xf numFmtId="0" fontId="13" fillId="0" borderId="1" xfId="0" applyFont="1" applyBorder="1" applyAlignment="1">
      <alignment horizontal="centerContinuous"/>
    </xf>
    <xf numFmtId="0" fontId="13" fillId="0" borderId="2" xfId="0" applyFont="1" applyBorder="1" applyAlignment="1">
      <alignment horizontal="centerContinuous"/>
    </xf>
    <xf numFmtId="0" fontId="13" fillId="0" borderId="3" xfId="0" applyFont="1" applyBorder="1" applyAlignment="1">
      <alignment horizontal="center"/>
    </xf>
    <xf numFmtId="0" fontId="13" fillId="0" borderId="0" xfId="0" applyFont="1"/>
    <xf numFmtId="10" fontId="0" fillId="0" borderId="0" xfId="2" applyNumberFormat="1" applyFont="1"/>
    <xf numFmtId="167" fontId="0" fillId="0" borderId="0" xfId="0" applyNumberFormat="1"/>
    <xf numFmtId="0" fontId="0" fillId="0" borderId="0" xfId="0" applyAlignment="1">
      <alignment horizontal="center"/>
    </xf>
    <xf numFmtId="0" fontId="2" fillId="4" borderId="0" xfId="0" applyFont="1" applyFill="1" applyProtection="1">
      <protection locked="0"/>
    </xf>
    <xf numFmtId="4" fontId="1" fillId="4" borderId="0" xfId="0" applyNumberFormat="1" applyFont="1" applyFill="1" applyProtection="1">
      <protection locked="0"/>
    </xf>
    <xf numFmtId="166" fontId="7" fillId="0" borderId="0" xfId="0" applyNumberFormat="1" applyFont="1"/>
    <xf numFmtId="4" fontId="1" fillId="4" borderId="0" xfId="0" applyNumberFormat="1" applyFont="1" applyFill="1"/>
    <xf numFmtId="2" fontId="1" fillId="4" borderId="0" xfId="0" applyNumberFormat="1" applyFont="1" applyFill="1"/>
    <xf numFmtId="0" fontId="19" fillId="0" borderId="0" xfId="0" applyFont="1"/>
    <xf numFmtId="0" fontId="0" fillId="0" borderId="0" xfId="0" applyAlignment="1">
      <alignment horizontal="left"/>
    </xf>
    <xf numFmtId="0" fontId="1" fillId="4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1" fillId="0" borderId="0" xfId="0" applyFont="1" applyAlignment="1">
      <alignment horizontal="center"/>
    </xf>
    <xf numFmtId="0" fontId="5" fillId="4" borderId="0" xfId="0" applyFont="1" applyFill="1" applyAlignment="1">
      <alignment horizontal="center" vertical="distributed"/>
    </xf>
    <xf numFmtId="0" fontId="3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center"/>
    </xf>
    <xf numFmtId="0" fontId="10" fillId="0" borderId="0" xfId="1" applyFont="1" applyFill="1" applyBorder="1" applyAlignment="1">
      <alignment horizontal="center" vertical="distributed"/>
    </xf>
    <xf numFmtId="0" fontId="9" fillId="6" borderId="0" xfId="1" applyFont="1" applyFill="1" applyAlignment="1">
      <alignment horizontal="center" vertical="distributed"/>
    </xf>
    <xf numFmtId="0" fontId="9" fillId="7" borderId="0" xfId="1" applyFont="1" applyFill="1" applyAlignment="1" applyProtection="1">
      <alignment horizontal="center" vertical="distributed"/>
      <protection locked="0"/>
    </xf>
    <xf numFmtId="0" fontId="2" fillId="4" borderId="0" xfId="0" applyFont="1" applyFill="1" applyAlignment="1">
      <alignment horizontal="left" vertical="distributed"/>
    </xf>
    <xf numFmtId="0" fontId="3" fillId="4" borderId="0" xfId="0" applyFont="1" applyFill="1" applyAlignment="1">
      <alignment horizontal="center"/>
    </xf>
    <xf numFmtId="0" fontId="1" fillId="4" borderId="0" xfId="0" applyFont="1" applyFill="1" applyAlignment="1">
      <alignment horizontal="center" vertical="distributed"/>
    </xf>
    <xf numFmtId="0" fontId="2" fillId="4" borderId="0" xfId="0" applyFont="1" applyFill="1" applyAlignment="1">
      <alignment horizontal="left"/>
    </xf>
    <xf numFmtId="0" fontId="9" fillId="6" borderId="0" xfId="1" applyFont="1" applyFill="1" applyAlignment="1" applyProtection="1">
      <alignment horizontal="center" vertical="distributed"/>
      <protection locked="0"/>
    </xf>
    <xf numFmtId="0" fontId="0" fillId="0" borderId="0" xfId="0" applyAlignment="1">
      <alignment horizontal="left"/>
    </xf>
    <xf numFmtId="0" fontId="0" fillId="0" borderId="0" xfId="0" applyAlignment="1">
      <alignment horizontal="center"/>
    </xf>
    <xf numFmtId="0" fontId="2" fillId="2" borderId="0" xfId="0" applyFont="1" applyFill="1" applyAlignment="1">
      <alignment horizontal="center"/>
    </xf>
    <xf numFmtId="0" fontId="1" fillId="4" borderId="0" xfId="0" applyFont="1" applyFill="1" applyAlignment="1">
      <alignment horizontal="center"/>
    </xf>
    <xf numFmtId="0" fontId="0" fillId="0" borderId="0" xfId="0" applyAlignment="1" applyProtection="1">
      <alignment horizontal="left"/>
      <protection locked="0"/>
    </xf>
    <xf numFmtId="0" fontId="1" fillId="4" borderId="0" xfId="0" applyFont="1" applyFill="1" applyAlignment="1" applyProtection="1">
      <alignment horizontal="center"/>
      <protection locked="0"/>
    </xf>
    <xf numFmtId="0" fontId="9" fillId="7" borderId="0" xfId="1" applyFont="1" applyFill="1" applyAlignment="1">
      <alignment horizontal="center" vertical="distributed"/>
    </xf>
    <xf numFmtId="0" fontId="9" fillId="6" borderId="0" xfId="1" applyFont="1" applyFill="1" applyAlignment="1">
      <alignment horizontal="center"/>
    </xf>
    <xf numFmtId="0" fontId="0" fillId="5" borderId="0" xfId="0" applyFill="1" applyAlignment="1">
      <alignment horizontal="center"/>
    </xf>
    <xf numFmtId="0" fontId="9" fillId="7" borderId="0" xfId="1" applyFont="1" applyFill="1" applyAlignment="1">
      <alignment horizontal="center"/>
    </xf>
    <xf numFmtId="0" fontId="17" fillId="9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3" fillId="4" borderId="0" xfId="0" applyFont="1" applyFill="1" applyAlignment="1" applyProtection="1">
      <alignment horizontal="center" vertical="distributed"/>
      <protection locked="0"/>
    </xf>
    <xf numFmtId="0" fontId="3" fillId="4" borderId="0" xfId="1" applyFont="1" applyFill="1" applyAlignment="1" applyProtection="1">
      <alignment horizontal="center" vertical="distributed"/>
      <protection locked="0"/>
    </xf>
    <xf numFmtId="10" fontId="0" fillId="0" borderId="0" xfId="2" applyNumberFormat="1" applyFont="1" applyAlignment="1">
      <alignment horizontal="center"/>
    </xf>
    <xf numFmtId="4" fontId="0" fillId="0" borderId="0" xfId="0" applyNumberFormat="1" applyAlignment="1">
      <alignment horizontal="center"/>
    </xf>
    <xf numFmtId="10" fontId="0" fillId="0" borderId="0" xfId="0" applyNumberFormat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FINANSIJASKI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FinaIndikatori!#REF!</c:f>
              <c:strCache>
                <c:ptCount val="1"/>
                <c:pt idx="0">
                  <c:v>#REF!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D10-4432-8D8D-9EDBA2A64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67772672"/>
        <c:axId val="223504064"/>
      </c:barChart>
      <c:lineChart>
        <c:grouping val="standard"/>
        <c:varyColors val="0"/>
        <c:ser>
          <c:idx val="0"/>
          <c:order val="0"/>
          <c:tx>
            <c:strRef>
              <c:f>FinaIndikatori!$A$62</c:f>
              <c:strCache>
                <c:ptCount val="1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FinaIndikatori!$E$62:$Y$62</c:f>
              <c:numCache>
                <c:formatCode>#,##0.00</c:formatCode>
                <c:ptCount val="21"/>
                <c:pt idx="0">
                  <c:v>243000</c:v>
                </c:pt>
                <c:pt idx="1">
                  <c:v>311485.52198818082</c:v>
                </c:pt>
                <c:pt idx="2">
                  <c:v>380187.63474578888</c:v>
                </c:pt>
                <c:pt idx="3">
                  <c:v>449132.32916515548</c:v>
                </c:pt>
                <c:pt idx="4">
                  <c:v>518348.71504569164</c:v>
                </c:pt>
                <c:pt idx="5">
                  <c:v>587869.3953627377</c:v>
                </c:pt>
                <c:pt idx="6">
                  <c:v>657730.8854486749</c:v>
                </c:pt>
                <c:pt idx="7">
                  <c:v>727974.08247577003</c:v>
                </c:pt>
                <c:pt idx="8">
                  <c:v>798644.79127696226</c:v>
                </c:pt>
                <c:pt idx="9">
                  <c:v>840001.4927414062</c:v>
                </c:pt>
                <c:pt idx="10">
                  <c:v>881358.19420585013</c:v>
                </c:pt>
                <c:pt idx="11">
                  <c:v>922714.89567029406</c:v>
                </c:pt>
                <c:pt idx="12">
                  <c:v>964071.597134738</c:v>
                </c:pt>
                <c:pt idx="13">
                  <c:v>1005428.2985991819</c:v>
                </c:pt>
                <c:pt idx="14">
                  <c:v>1046785.0000636259</c:v>
                </c:pt>
                <c:pt idx="15">
                  <c:v>1088141.7015280698</c:v>
                </c:pt>
                <c:pt idx="16">
                  <c:v>1129498.4029925137</c:v>
                </c:pt>
                <c:pt idx="17">
                  <c:v>1170855.1044569577</c:v>
                </c:pt>
                <c:pt idx="18">
                  <c:v>1212211.8059214016</c:v>
                </c:pt>
                <c:pt idx="19">
                  <c:v>1253568.5073858455</c:v>
                </c:pt>
                <c:pt idx="20">
                  <c:v>1294925.2088502895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D10-4432-8D8D-9EDBA2A64DF9}"/>
            </c:ext>
          </c:extLst>
        </c:ser>
        <c:ser>
          <c:idx val="1"/>
          <c:order val="1"/>
          <c:tx>
            <c:strRef>
              <c:f>FinaIndikatori!$A$63</c:f>
              <c:strCache>
                <c:ptCount val="1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FinaIndikatori!$E$63:$Y$63</c:f>
              <c:numCache>
                <c:formatCode>#,##0.00</c:formatCode>
                <c:ptCount val="21"/>
                <c:pt idx="1">
                  <c:v>70855.458195218584</c:v>
                </c:pt>
                <c:pt idx="2">
                  <c:v>145978.23290362867</c:v>
                </c:pt>
                <c:pt idx="3">
                  <c:v>221101.00761203875</c:v>
                </c:pt>
                <c:pt idx="4">
                  <c:v>296223.78232044884</c:v>
                </c:pt>
                <c:pt idx="5">
                  <c:v>371346.55702885892</c:v>
                </c:pt>
                <c:pt idx="6">
                  <c:v>446469.33173726901</c:v>
                </c:pt>
                <c:pt idx="7">
                  <c:v>521592.10644567909</c:v>
                </c:pt>
                <c:pt idx="8">
                  <c:v>596714.88115408912</c:v>
                </c:pt>
                <c:pt idx="9">
                  <c:v>671837.65586249914</c:v>
                </c:pt>
                <c:pt idx="10">
                  <c:v>746960.43057090917</c:v>
                </c:pt>
                <c:pt idx="11">
                  <c:v>822083.2052793192</c:v>
                </c:pt>
                <c:pt idx="12">
                  <c:v>897205.97998772922</c:v>
                </c:pt>
                <c:pt idx="13">
                  <c:v>972328.75469613925</c:v>
                </c:pt>
                <c:pt idx="14">
                  <c:v>1047451.5294045493</c:v>
                </c:pt>
                <c:pt idx="15">
                  <c:v>1122574.3041129594</c:v>
                </c:pt>
                <c:pt idx="16">
                  <c:v>1197697.0788213694</c:v>
                </c:pt>
                <c:pt idx="17">
                  <c:v>1272819.8535297795</c:v>
                </c:pt>
                <c:pt idx="18">
                  <c:v>1347942.6282381895</c:v>
                </c:pt>
                <c:pt idx="19">
                  <c:v>1423065.4029465995</c:v>
                </c:pt>
                <c:pt idx="20">
                  <c:v>1498188.1776550096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9D10-4432-8D8D-9EDBA2A64DF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67772672"/>
        <c:axId val="223504064"/>
      </c:lineChart>
      <c:catAx>
        <c:axId val="167772672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4064"/>
        <c:crosses val="autoZero"/>
        <c:auto val="1"/>
        <c:lblAlgn val="ctr"/>
        <c:lblOffset val="100"/>
        <c:noMultiLvlLbl val="0"/>
      </c:catAx>
      <c:valAx>
        <c:axId val="22350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7772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EKONOMSKI</a:t>
            </a:r>
            <a:r>
              <a:rPr lang="sr-Latn-RS" baseline="0"/>
              <a:t> PRORAČUN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2"/>
          <c:tx>
            <c:strRef>
              <c:f>EkonIndikatori!#REF!</c:f>
              <c:strCache>
                <c:ptCount val="1"/>
                <c:pt idx="0">
                  <c:v>#REF!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cat>
            <c:numRef>
              <c:f>'FinInd+CO2'!$E$9:$Y$9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EkonIndikatori!#REF!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DCF2-4E8D-B4F5-8A7209CCA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175863296"/>
        <c:axId val="223508672"/>
      </c:barChart>
      <c:lineChart>
        <c:grouping val="standard"/>
        <c:varyColors val="0"/>
        <c:ser>
          <c:idx val="0"/>
          <c:order val="0"/>
          <c:tx>
            <c:strRef>
              <c:f>'FinInd+CO2'!$A$65</c:f>
              <c:strCache>
                <c:ptCount val="1"/>
                <c:pt idx="0">
                  <c:v>Graf - Troškovi diskontovano kumul.</c:v>
                </c:pt>
              </c:strCache>
            </c:strRef>
          </c:tx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cat>
            <c:numRef>
              <c:f>FinaIndikatori!$E$9:$Y$9</c:f>
              <c:numCache>
                <c:formatCode>General</c:formatCode>
                <c:ptCount val="21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</c:numCache>
            </c:numRef>
          </c:cat>
          <c:val>
            <c:numRef>
              <c:f>'FinInd+CO2'!$E$65:$Y$65</c:f>
              <c:numCache>
                <c:formatCode>#,##0.00</c:formatCode>
                <c:ptCount val="21"/>
                <c:pt idx="0">
                  <c:v>148000</c:v>
                </c:pt>
                <c:pt idx="1">
                  <c:v>314539.78519097011</c:v>
                </c:pt>
                <c:pt idx="2">
                  <c:v>386296.16115136747</c:v>
                </c:pt>
                <c:pt idx="3">
                  <c:v>458295.11877352337</c:v>
                </c:pt>
                <c:pt idx="4">
                  <c:v>530565.76785684889</c:v>
                </c:pt>
                <c:pt idx="5">
                  <c:v>603140.71137668425</c:v>
                </c:pt>
                <c:pt idx="6">
                  <c:v>676056.46466541069</c:v>
                </c:pt>
                <c:pt idx="7">
                  <c:v>749353.92489529517</c:v>
                </c:pt>
                <c:pt idx="8">
                  <c:v>823078.89689927665</c:v>
                </c:pt>
                <c:pt idx="9">
                  <c:v>867489.86156650994</c:v>
                </c:pt>
                <c:pt idx="10">
                  <c:v>911900.82623374322</c:v>
                </c:pt>
                <c:pt idx="11">
                  <c:v>956311.79090097651</c:v>
                </c:pt>
                <c:pt idx="12">
                  <c:v>1000722.7555682098</c:v>
                </c:pt>
                <c:pt idx="13">
                  <c:v>1045133.7202354431</c:v>
                </c:pt>
                <c:pt idx="14">
                  <c:v>1089544.6849026764</c:v>
                </c:pt>
                <c:pt idx="15">
                  <c:v>1133955.6495699096</c:v>
                </c:pt>
                <c:pt idx="16">
                  <c:v>1178366.6142371427</c:v>
                </c:pt>
                <c:pt idx="17">
                  <c:v>1222777.5789043759</c:v>
                </c:pt>
                <c:pt idx="18">
                  <c:v>1267188.5435716091</c:v>
                </c:pt>
                <c:pt idx="19">
                  <c:v>1311599.5082388422</c:v>
                </c:pt>
                <c:pt idx="20">
                  <c:v>1356010.4729060754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DCF2-4E8D-B4F5-8A7209CCA557}"/>
            </c:ext>
          </c:extLst>
        </c:ser>
        <c:ser>
          <c:idx val="1"/>
          <c:order val="1"/>
          <c:tx>
            <c:strRef>
              <c:f>'FinInd+CO2'!$A$66</c:f>
              <c:strCache>
                <c:ptCount val="1"/>
                <c:pt idx="0">
                  <c:v>Graf - Prihodi diskontovano kumul.</c:v>
                </c:pt>
              </c:strCache>
            </c:strRef>
          </c:tx>
          <c:spPr>
            <a:ln w="34925" cap="rnd">
              <a:solidFill>
                <a:schemeClr val="accent2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'FinInd+CO2'!$E$66:$Y$66</c:f>
              <c:numCache>
                <c:formatCode>#,##0.00</c:formatCode>
                <c:ptCount val="21"/>
                <c:pt idx="1">
                  <c:v>95484.529393672245</c:v>
                </c:pt>
                <c:pt idx="2">
                  <c:v>190969.05878734449</c:v>
                </c:pt>
                <c:pt idx="3">
                  <c:v>286453.58818101673</c:v>
                </c:pt>
                <c:pt idx="4">
                  <c:v>381938.11757468898</c:v>
                </c:pt>
                <c:pt idx="5">
                  <c:v>477422.64696836122</c:v>
                </c:pt>
                <c:pt idx="6">
                  <c:v>572907.17636203347</c:v>
                </c:pt>
                <c:pt idx="7">
                  <c:v>668391.70575570571</c:v>
                </c:pt>
                <c:pt idx="8">
                  <c:v>763876.23514937796</c:v>
                </c:pt>
                <c:pt idx="9">
                  <c:v>859360.7645430502</c:v>
                </c:pt>
                <c:pt idx="10">
                  <c:v>954845.29393672245</c:v>
                </c:pt>
                <c:pt idx="11">
                  <c:v>1050329.8233303947</c:v>
                </c:pt>
                <c:pt idx="12">
                  <c:v>1145814.3527240669</c:v>
                </c:pt>
                <c:pt idx="13">
                  <c:v>1241298.8821177392</c:v>
                </c:pt>
                <c:pt idx="14">
                  <c:v>1336783.4115114114</c:v>
                </c:pt>
                <c:pt idx="15">
                  <c:v>1432267.9409050837</c:v>
                </c:pt>
                <c:pt idx="16">
                  <c:v>1527752.4702987559</c:v>
                </c:pt>
                <c:pt idx="17">
                  <c:v>1623236.9996924282</c:v>
                </c:pt>
                <c:pt idx="18">
                  <c:v>1718721.5290861004</c:v>
                </c:pt>
                <c:pt idx="19">
                  <c:v>1814206.0584797726</c:v>
                </c:pt>
                <c:pt idx="20">
                  <c:v>1909690.5878734449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DCF2-4E8D-B4F5-8A7209CCA5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175863296"/>
        <c:axId val="223508672"/>
      </c:lineChart>
      <c:catAx>
        <c:axId val="17586329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23508672"/>
        <c:crosses val="autoZero"/>
        <c:auto val="1"/>
        <c:lblAlgn val="ctr"/>
        <c:lblOffset val="100"/>
        <c:noMultiLvlLbl val="0"/>
      </c:catAx>
      <c:valAx>
        <c:axId val="223508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58632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Uticaj promena na Neto sadašnju vrednost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3678958880139983"/>
          <c:y val="0.16245370370370371"/>
          <c:w val="0.83265485564304464"/>
          <c:h val="0.64051431606831455"/>
        </c:manualLayout>
      </c:layout>
      <c:lineChart>
        <c:grouping val="standard"/>
        <c:varyColors val="0"/>
        <c:ser>
          <c:idx val="0"/>
          <c:order val="0"/>
          <c:tx>
            <c:strRef>
              <c:f>Osetljivost!$A$14</c:f>
              <c:strCache>
                <c:ptCount val="1"/>
                <c:pt idx="0">
                  <c:v>Cena toplote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Osetljivost!$B$15:$B$16</c:f>
              <c:numCache>
                <c:formatCode>#.##0_ ;[Red]\-#.##0\ </c:formatCode>
                <c:ptCount val="2"/>
                <c:pt idx="0">
                  <c:v>-19287.692277329304</c:v>
                </c:pt>
                <c:pt idx="1">
                  <c:v>-130599.67158683907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0C5-469C-ACB8-CF49A275A277}"/>
            </c:ext>
          </c:extLst>
        </c:ser>
        <c:ser>
          <c:idx val="1"/>
          <c:order val="1"/>
          <c:tx>
            <c:strRef>
              <c:f>Osetljivost!$S$9</c:f>
              <c:strCache>
                <c:ptCount val="1"/>
                <c:pt idx="0">
                  <c:v>Cena toplote sa CO₂</c:v>
                </c:pt>
              </c:strCache>
            </c:strRef>
          </c:tx>
          <c:spPr>
            <a:ln w="28575" cap="rnd">
              <a:solidFill>
                <a:schemeClr val="accent1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Osetljivost!$D$15:$D$16</c:f>
              <c:numCache>
                <c:formatCode>#.##0_ ;[Red]\-#.##0\ </c:formatCode>
                <c:ptCount val="2"/>
                <c:pt idx="0">
                  <c:v>47861.376184196903</c:v>
                </c:pt>
                <c:pt idx="1">
                  <c:v>-63450.603125312911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00C5-469C-ACB8-CF49A275A277}"/>
            </c:ext>
          </c:extLst>
        </c:ser>
        <c:ser>
          <c:idx val="2"/>
          <c:order val="2"/>
          <c:tx>
            <c:strRef>
              <c:f>Osetljivost!$A$19</c:f>
              <c:strCache>
                <c:ptCount val="1"/>
                <c:pt idx="0">
                  <c:v>Cena drvne sečke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Osetljivost!$B$20:$B$21</c:f>
              <c:numCache>
                <c:formatCode>#.##0_ ;[Red]\-#.##0\ </c:formatCode>
                <c:ptCount val="2"/>
                <c:pt idx="0">
                  <c:v>-94095.222501059921</c:v>
                </c:pt>
                <c:pt idx="1">
                  <c:v>-55792.141363108261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00C5-469C-ACB8-CF49A275A277}"/>
            </c:ext>
          </c:extLst>
        </c:ser>
        <c:ser>
          <c:idx val="3"/>
          <c:order val="3"/>
          <c:tx>
            <c:strRef>
              <c:f>Osetljivost!$S$10</c:f>
              <c:strCache>
                <c:ptCount val="1"/>
                <c:pt idx="0">
                  <c:v>Cena drvne sečke sa CO₂</c:v>
                </c:pt>
              </c:strCache>
            </c:strRef>
          </c:tx>
          <c:spPr>
            <a:ln w="28575" cap="rnd">
              <a:solidFill>
                <a:schemeClr val="bg2">
                  <a:lumMod val="75000"/>
                </a:schemeClr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Osetljivost!$D$20:$D$21</c:f>
              <c:numCache>
                <c:formatCode>#.##0_ ;[Red]\-#.##0\ </c:formatCode>
                <c:ptCount val="2"/>
                <c:pt idx="0">
                  <c:v>-26946.154039533714</c:v>
                </c:pt>
                <c:pt idx="1">
                  <c:v>11356.927098417957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00C5-469C-ACB8-CF49A275A277}"/>
            </c:ext>
          </c:extLst>
        </c:ser>
        <c:ser>
          <c:idx val="4"/>
          <c:order val="4"/>
          <c:tx>
            <c:strRef>
              <c:f>Osetljivost!$A$24</c:f>
              <c:strCache>
                <c:ptCount val="1"/>
                <c:pt idx="0">
                  <c:v>Investicije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Osetljivost!$B$25:$B$26</c:f>
              <c:numCache>
                <c:formatCode>#.##0_ ;[Red]\-#.##0\ </c:formatCode>
                <c:ptCount val="2"/>
                <c:pt idx="0">
                  <c:v>-114405.41897123105</c:v>
                </c:pt>
                <c:pt idx="1">
                  <c:v>-33491.235188637787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5-00C5-469C-ACB8-CF49A275A277}"/>
            </c:ext>
          </c:extLst>
        </c:ser>
        <c:ser>
          <c:idx val="5"/>
          <c:order val="5"/>
          <c:tx>
            <c:strRef>
              <c:f>Osetljivost!$S$11</c:f>
              <c:strCache>
                <c:ptCount val="1"/>
                <c:pt idx="0">
                  <c:v>Investicije sa CO?</c:v>
                </c:pt>
              </c:strCache>
            </c:strRef>
          </c:tx>
          <c:spPr>
            <a:ln w="28575" cap="rnd">
              <a:solidFill>
                <a:schemeClr val="accent4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(Osetljivost!$A$16,Osetljivost!$A$15)</c:f>
              <c:numCache>
                <c:formatCode>0%</c:formatCode>
                <c:ptCount val="2"/>
                <c:pt idx="0">
                  <c:v>-0.1</c:v>
                </c:pt>
                <c:pt idx="1">
                  <c:v>0.1</c:v>
                </c:pt>
              </c:numCache>
            </c:numRef>
          </c:cat>
          <c:val>
            <c:numRef>
              <c:f>Osetljivost!$D$25:$D$26</c:f>
              <c:numCache>
                <c:formatCode>#.##0_ ;[Red]\-#.##0\ </c:formatCode>
                <c:ptCount val="2"/>
                <c:pt idx="0">
                  <c:v>-48971.237247332523</c:v>
                </c:pt>
                <c:pt idx="1">
                  <c:v>35845.715336249305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6-00C5-469C-ACB8-CF49A275A2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9353472"/>
        <c:axId val="68841408"/>
      </c:lineChart>
      <c:catAx>
        <c:axId val="6935347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841408"/>
        <c:crosses val="autoZero"/>
        <c:auto val="1"/>
        <c:lblAlgn val="ctr"/>
        <c:lblOffset val="100"/>
        <c:noMultiLvlLbl val="0"/>
      </c:catAx>
      <c:valAx>
        <c:axId val="68841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.##0_ ;[Red]\-#.##0\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534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 xmlns:c16r2="http://schemas.microsoft.com/office/drawing/2015/06/chart"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n-US"/>
              <a:t>C</a:t>
            </a:r>
            <a:r>
              <a:rPr lang="sr-Latn-RS"/>
              <a:t>ash - Flow / DHC Korist ako ESCO investira</a:t>
            </a:r>
            <a:endParaRPr lang="en-US"/>
          </a:p>
        </c:rich>
      </c:tx>
      <c:layout>
        <c:manualLayout>
          <c:xMode val="edge"/>
          <c:yMode val="edge"/>
          <c:x val="0.15363380006683713"/>
          <c:y val="3.3003300330033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FinaIndikatori!#REF!</c:f>
              <c:strCache>
                <c:ptCount val="1"/>
                <c:pt idx="0">
                  <c:v>#REF!</c:v>
                </c:pt>
              </c:strCache>
              <c:extLst xmlns:c16r2="http://schemas.microsoft.com/office/drawing/2015/06/chart" xmlns:c15="http://schemas.microsoft.com/office/drawing/2012/chart"/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invertIfNegative val="0"/>
          <c:val>
            <c:numRef>
              <c:f>FinaIndikatori!#REF!</c:f>
              <c:numCache>
                <c:formatCode>General</c:formatCode>
                <c:ptCount val="1"/>
                <c:pt idx="0">
                  <c:v>1</c:v>
                </c:pt>
              </c:numCache>
              <c:extLst xmlns:c16r2="http://schemas.microsoft.com/office/drawing/2015/06/chart" xmlns:c15="http://schemas.microsoft.com/office/drawing/2012/chart"/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1A-472E-82EC-5E9F0AB73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0"/>
        <c:axId val="69395456"/>
        <c:axId val="68986560"/>
        <c:extLst xmlns:c16r2="http://schemas.microsoft.com/office/drawing/2015/06/chart"/>
      </c:barChart>
      <c:lineChart>
        <c:grouping val="standard"/>
        <c:varyColors val="0"/>
        <c:ser>
          <c:idx val="3"/>
          <c:order val="1"/>
          <c:tx>
            <c:v>Korist kompanije za daljinsko grejanje</c:v>
          </c:tx>
          <c:spPr>
            <a:ln w="34925" cap="rnd">
              <a:solidFill>
                <a:schemeClr val="accent4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val>
            <c:numRef>
              <c:f>AkoESCO!$F$13:$Y$13</c:f>
              <c:numCache>
                <c:formatCode>#,##0.00</c:formatCode>
                <c:ptCount val="2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51A-472E-82EC-5E9F0AB736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solidFill>
                <a:schemeClr val="lt1"/>
              </a:solidFill>
              <a:round/>
            </a:ln>
            <a:effectLst/>
          </c:spPr>
        </c:dropLines>
        <c:marker val="1"/>
        <c:smooth val="0"/>
        <c:axId val="69395456"/>
        <c:axId val="68986560"/>
        <c:extLst xmlns:c16r2="http://schemas.microsoft.com/office/drawing/2015/06/chart">
          <c:ext xmlns:c15="http://schemas.microsoft.com/office/drawing/2012/chart" uri="{02D57815-91ED-43cb-92C2-25804820EDAC}">
            <c15:filteredLineSeries>
              <c15:ser>
                <c:idx val="0"/>
                <c:order val="0"/>
                <c:tx>
                  <c:strRef>
                    <c:extLst>
                      <c:ext uri="{02D57815-91ED-43cb-92C2-25804820EDAC}">
                        <c15:formulaRef>
                          <c15:sqref>FinaIndikatori!$A$62</c15:sqref>
                        </c15:formulaRef>
                      </c:ext>
                    </c:extLst>
                    <c:strCache>
                      <c:ptCount val="1"/>
                      <c:pt idx="0">
                        <c:v>Graf - Troškovi diskontovano kumul.</c:v>
                      </c:pt>
                    </c:strCache>
                  </c:strRef>
                </c:tx>
                <c:spPr>
                  <a:ln w="34925" cap="rnd">
                    <a:solidFill>
                      <a:schemeClr val="accent1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ormulaRef>
                          <c15:sqref>FinaIndikatori!$E$9:$Y$9</c15:sqref>
                        </c15:formulaRef>
                      </c:ext>
                    </c:extLst>
                    <c:numCache>
                      <c:formatCode>General</c:formatCode>
                      <c:ptCount val="21"/>
                      <c:pt idx="0">
                        <c:v>0</c:v>
                      </c:pt>
                      <c:pt idx="1">
                        <c:v>1</c:v>
                      </c:pt>
                      <c:pt idx="2">
                        <c:v>2</c:v>
                      </c:pt>
                      <c:pt idx="3">
                        <c:v>3</c:v>
                      </c:pt>
                      <c:pt idx="4">
                        <c:v>4</c:v>
                      </c:pt>
                      <c:pt idx="5">
                        <c:v>5</c:v>
                      </c:pt>
                      <c:pt idx="6">
                        <c:v>6</c:v>
                      </c:pt>
                      <c:pt idx="7">
                        <c:v>7</c:v>
                      </c:pt>
                      <c:pt idx="8">
                        <c:v>8</c:v>
                      </c:pt>
                      <c:pt idx="9">
                        <c:v>9</c:v>
                      </c:pt>
                      <c:pt idx="10">
                        <c:v>10</c:v>
                      </c:pt>
                      <c:pt idx="11">
                        <c:v>11</c:v>
                      </c:pt>
                      <c:pt idx="12">
                        <c:v>12</c:v>
                      </c:pt>
                      <c:pt idx="13">
                        <c:v>13</c:v>
                      </c:pt>
                      <c:pt idx="14">
                        <c:v>14</c:v>
                      </c:pt>
                      <c:pt idx="15">
                        <c:v>15</c:v>
                      </c:pt>
                      <c:pt idx="16">
                        <c:v>16</c:v>
                      </c:pt>
                      <c:pt idx="17">
                        <c:v>17</c:v>
                      </c:pt>
                      <c:pt idx="18">
                        <c:v>18</c:v>
                      </c:pt>
                      <c:pt idx="19">
                        <c:v>19</c:v>
                      </c:pt>
                      <c:pt idx="20">
                        <c:v>20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ormulaRef>
                          <c15:sqref>FinaIndikatori!$E$62:$Y$62</c15:sqref>
                        </c15:formulaRef>
                      </c:ext>
                    </c:extLst>
                    <c:numCache>
                      <c:formatCode>#,##0.00</c:formatCode>
                      <c:ptCount val="21"/>
                      <c:pt idx="0">
                        <c:v>243000</c:v>
                      </c:pt>
                      <c:pt idx="1">
                        <c:v>311485.52198818082</c:v>
                      </c:pt>
                      <c:pt idx="2">
                        <c:v>380187.63474578888</c:v>
                      </c:pt>
                      <c:pt idx="3">
                        <c:v>449132.32916515548</c:v>
                      </c:pt>
                      <c:pt idx="4">
                        <c:v>518348.71504569164</c:v>
                      </c:pt>
                      <c:pt idx="5">
                        <c:v>587869.3953627377</c:v>
                      </c:pt>
                      <c:pt idx="6">
                        <c:v>657730.8854486749</c:v>
                      </c:pt>
                      <c:pt idx="7">
                        <c:v>727974.08247577003</c:v>
                      </c:pt>
                      <c:pt idx="8">
                        <c:v>798644.79127696226</c:v>
                      </c:pt>
                      <c:pt idx="9">
                        <c:v>840001.4927414062</c:v>
                      </c:pt>
                      <c:pt idx="10">
                        <c:v>881358.19420585013</c:v>
                      </c:pt>
                      <c:pt idx="11">
                        <c:v>922714.89567029406</c:v>
                      </c:pt>
                      <c:pt idx="12">
                        <c:v>964071.597134738</c:v>
                      </c:pt>
                      <c:pt idx="13">
                        <c:v>1005428.2985991819</c:v>
                      </c:pt>
                      <c:pt idx="14">
                        <c:v>1046785.0000636259</c:v>
                      </c:pt>
                      <c:pt idx="15">
                        <c:v>1088141.7015280698</c:v>
                      </c:pt>
                      <c:pt idx="16">
                        <c:v>1129498.4029925137</c:v>
                      </c:pt>
                      <c:pt idx="17">
                        <c:v>1170855.1044569577</c:v>
                      </c:pt>
                      <c:pt idx="18">
                        <c:v>1212211.8059214016</c:v>
                      </c:pt>
                      <c:pt idx="19">
                        <c:v>1253568.5073858455</c:v>
                      </c:pt>
                      <c:pt idx="20">
                        <c:v>1294925.2088502895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2-351A-472E-82EC-5E9F0AB736C4}"/>
                  </c:ext>
                </c:extLst>
              </c15:ser>
            </c15:filteredLineSeries>
            <c15:filteredLineSeries>
              <c15:ser>
                <c:idx val="1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FinaIndikatori!$A$63</c15:sqref>
                        </c15:formulaRef>
                      </c:ext>
                    </c:extLst>
                    <c:strCache>
                      <c:ptCount val="1"/>
                      <c:pt idx="0">
                        <c:v>Graf - Prihodi diskontovano kumul.</c:v>
                      </c:pt>
                    </c:strCache>
                  </c:strRef>
                </c:tx>
                <c:spPr>
                  <a:ln w="34925" cap="rnd">
                    <a:solidFill>
                      <a:schemeClr val="accent2"/>
                    </a:solidFill>
                    <a:round/>
                  </a:ln>
                  <a:effectLst>
                    <a:outerShdw blurRad="57150" dist="19050" dir="5400000" algn="ctr" rotWithShape="0">
                      <a:srgbClr val="000000">
                        <a:alpha val="63000"/>
                      </a:srgbClr>
                    </a:outerShdw>
                  </a:effectLst>
                </c:spPr>
                <c:marker>
                  <c:symbol val="none"/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FinaIndikatori!$E$63:$Y$63</c15:sqref>
                        </c15:formulaRef>
                      </c:ext>
                    </c:extLst>
                    <c:numCache>
                      <c:formatCode>#,##0.00</c:formatCode>
                      <c:ptCount val="21"/>
                      <c:pt idx="1">
                        <c:v>70855.458195218584</c:v>
                      </c:pt>
                      <c:pt idx="2">
                        <c:v>145978.23290362867</c:v>
                      </c:pt>
                      <c:pt idx="3">
                        <c:v>221101.00761203875</c:v>
                      </c:pt>
                      <c:pt idx="4">
                        <c:v>296223.78232044884</c:v>
                      </c:pt>
                      <c:pt idx="5">
                        <c:v>371346.55702885892</c:v>
                      </c:pt>
                      <c:pt idx="6">
                        <c:v>446469.33173726901</c:v>
                      </c:pt>
                      <c:pt idx="7">
                        <c:v>521592.10644567909</c:v>
                      </c:pt>
                      <c:pt idx="8">
                        <c:v>596714.88115408912</c:v>
                      </c:pt>
                      <c:pt idx="9">
                        <c:v>671837.65586249914</c:v>
                      </c:pt>
                      <c:pt idx="10">
                        <c:v>746960.43057090917</c:v>
                      </c:pt>
                      <c:pt idx="11">
                        <c:v>822083.2052793192</c:v>
                      </c:pt>
                      <c:pt idx="12">
                        <c:v>897205.97998772922</c:v>
                      </c:pt>
                      <c:pt idx="13">
                        <c:v>972328.75469613925</c:v>
                      </c:pt>
                      <c:pt idx="14">
                        <c:v>1047451.5294045493</c:v>
                      </c:pt>
                      <c:pt idx="15">
                        <c:v>1122574.3041129594</c:v>
                      </c:pt>
                      <c:pt idx="16">
                        <c:v>1197697.0788213694</c:v>
                      </c:pt>
                      <c:pt idx="17">
                        <c:v>1272819.8535297795</c:v>
                      </c:pt>
                      <c:pt idx="18">
                        <c:v>1347942.6282381895</c:v>
                      </c:pt>
                      <c:pt idx="19">
                        <c:v>1423065.4029465995</c:v>
                      </c:pt>
                      <c:pt idx="20">
                        <c:v>1498188.1776550096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351A-472E-82EC-5E9F0AB736C4}"/>
                  </c:ext>
                </c:extLst>
              </c15:ser>
            </c15:filteredLineSeries>
          </c:ext>
        </c:extLst>
      </c:lineChart>
      <c:catAx>
        <c:axId val="693954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VREMENSKI</a:t>
                </a:r>
                <a:r>
                  <a:rPr lang="sr-Latn-RS" baseline="0"/>
                  <a:t> OKVIR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8986560"/>
        <c:crosses val="autoZero"/>
        <c:auto val="1"/>
        <c:lblAlgn val="ctr"/>
        <c:lblOffset val="100"/>
        <c:noMultiLvlLbl val="0"/>
      </c:catAx>
      <c:valAx>
        <c:axId val="68986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1" i="0" u="none" strike="noStrike" kern="1200" cap="all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sr-Latn-RS"/>
                  <a:t>EUR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9395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28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gradFill>
        <a:gsLst>
          <a:gs pos="100000">
            <a:schemeClr val="dk1">
              <a:lumMod val="95000"/>
              <a:lumOff val="5000"/>
            </a:schemeClr>
          </a:gs>
          <a:gs pos="0">
            <a:schemeClr val="dk1">
              <a:lumMod val="75000"/>
              <a:lumOff val="25000"/>
            </a:schemeClr>
          </a:gs>
        </a:gsLst>
        <a:path path="circle">
          <a:fillToRect l="50000" t="50000" r="50000" b="50000"/>
        </a:path>
      </a:gradFill>
      <a:ln w="9525">
        <a:solidFill>
          <a:schemeClr val="dk1">
            <a:lumMod val="75000"/>
            <a:lumOff val="2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/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gradFill>
        <a:gsLst>
          <a:gs pos="100000">
            <a:schemeClr val="lt1">
              <a:lumMod val="85000"/>
            </a:schemeClr>
          </a:gs>
          <a:gs pos="0">
            <a:schemeClr val="lt1"/>
          </a:gs>
        </a:gsLst>
        <a:path path="circle">
          <a:fillToRect l="50000" t="50000" r="50000" b="50000"/>
        </a:path>
      </a:gradFill>
      <a:ln w="9525" cap="flat" cmpd="sng" algn="ctr">
        <a:solidFill>
          <a:schemeClr val="lt1"/>
        </a:solidFill>
        <a:round/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ctrlProps/ctrlProp1.xml><?xml version="1.0" encoding="utf-8"?>
<formControlPr xmlns="http://schemas.microsoft.com/office/spreadsheetml/2009/9/main" objectType="CheckBox" checked="Checked" fmlaLink="$L$23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Pocetna!B2"/><Relationship Id="rId1" Type="http://schemas.openxmlformats.org/officeDocument/2006/relationships/chart" Target="../charts/chart2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A1"/><Relationship Id="rId5" Type="http://schemas.openxmlformats.org/officeDocument/2006/relationships/chart" Target="../charts/chart3.xml"/><Relationship Id="rId4" Type="http://schemas.openxmlformats.org/officeDocument/2006/relationships/image" Target="../media/image2.pn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Pocetna!B2"/><Relationship Id="rId1" Type="http://schemas.openxmlformats.org/officeDocument/2006/relationships/chart" Target="../charts/chart4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hyperlink" Target="#Pocetna!A1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4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5.jpe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image" Target="../media/image6.png"/><Relationship Id="rId1" Type="http://schemas.openxmlformats.org/officeDocument/2006/relationships/hyperlink" Target="#Pocetna!B2"/><Relationship Id="rId4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hyperlink" Target="#Pocetna!B2"/><Relationship Id="rId1" Type="http://schemas.openxmlformats.org/officeDocument/2006/relationships/chart" Target="../charts/chart1.xml"/><Relationship Id="rId5" Type="http://schemas.openxmlformats.org/officeDocument/2006/relationships/image" Target="../media/image2.png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0</xdr:row>
      <xdr:rowOff>95250</xdr:rowOff>
    </xdr:from>
    <xdr:to>
      <xdr:col>3</xdr:col>
      <xdr:colOff>546100</xdr:colOff>
      <xdr:row>5</xdr:row>
      <xdr:rowOff>47173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9525</xdr:colOff>
      <xdr:row>1</xdr:row>
      <xdr:rowOff>28575</xdr:rowOff>
    </xdr:from>
    <xdr:to>
      <xdr:col>12</xdr:col>
      <xdr:colOff>588645</xdr:colOff>
      <xdr:row>4</xdr:row>
      <xdr:rowOff>36195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24725" y="2190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419100</xdr:colOff>
      <xdr:row>12</xdr:row>
      <xdr:rowOff>76200</xdr:rowOff>
    </xdr:from>
    <xdr:to>
      <xdr:col>2</xdr:col>
      <xdr:colOff>199678</xdr:colOff>
      <xdr:row>14</xdr:row>
      <xdr:rowOff>85378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8700" y="121920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247650</xdr:colOff>
      <xdr:row>0</xdr:row>
      <xdr:rowOff>114300</xdr:rowOff>
    </xdr:from>
    <xdr:to>
      <xdr:col>4</xdr:col>
      <xdr:colOff>107950</xdr:colOff>
      <xdr:row>5</xdr:row>
      <xdr:rowOff>66223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295275</xdr:colOff>
      <xdr:row>1</xdr:row>
      <xdr:rowOff>66675</xdr:rowOff>
    </xdr:from>
    <xdr:to>
      <xdr:col>12</xdr:col>
      <xdr:colOff>264795</xdr:colOff>
      <xdr:row>4</xdr:row>
      <xdr:rowOff>74295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00875" y="2571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133350</xdr:colOff>
      <xdr:row>6</xdr:row>
      <xdr:rowOff>104775</xdr:rowOff>
    </xdr:from>
    <xdr:to>
      <xdr:col>11</xdr:col>
      <xdr:colOff>523528</xdr:colOff>
      <xdr:row>8</xdr:row>
      <xdr:rowOff>113953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9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943725" y="104775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0</xdr:row>
      <xdr:rowOff>66675</xdr:rowOff>
    </xdr:from>
    <xdr:to>
      <xdr:col>4</xdr:col>
      <xdr:colOff>12700</xdr:colOff>
      <xdr:row>5</xdr:row>
      <xdr:rowOff>18598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9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11</xdr:col>
      <xdr:colOff>695325</xdr:colOff>
      <xdr:row>1</xdr:row>
      <xdr:rowOff>133350</xdr:rowOff>
    </xdr:from>
    <xdr:to>
      <xdr:col>12</xdr:col>
      <xdr:colOff>493395</xdr:colOff>
      <xdr:row>4</xdr:row>
      <xdr:rowOff>140970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9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191500" y="3238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123825</xdr:colOff>
      <xdr:row>30</xdr:row>
      <xdr:rowOff>0</xdr:rowOff>
    </xdr:from>
    <xdr:to>
      <xdr:col>2</xdr:col>
      <xdr:colOff>514003</xdr:colOff>
      <xdr:row>32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A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43025" y="1819275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95250</xdr:colOff>
      <xdr:row>0</xdr:row>
      <xdr:rowOff>133350</xdr:rowOff>
    </xdr:from>
    <xdr:to>
      <xdr:col>3</xdr:col>
      <xdr:colOff>127000</xdr:colOff>
      <xdr:row>5</xdr:row>
      <xdr:rowOff>85273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A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1333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66675</xdr:colOff>
      <xdr:row>1</xdr:row>
      <xdr:rowOff>114300</xdr:rowOff>
    </xdr:from>
    <xdr:to>
      <xdr:col>11</xdr:col>
      <xdr:colOff>36195</xdr:colOff>
      <xdr:row>4</xdr:row>
      <xdr:rowOff>121920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A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10350" y="304800"/>
          <a:ext cx="579120" cy="598170"/>
        </a:xfrm>
        <a:prstGeom prst="rect">
          <a:avLst/>
        </a:prstGeom>
        <a:noFill/>
      </xdr:spPr>
    </xdr:pic>
    <xdr:clientData/>
  </xdr:twoCellAnchor>
  <xdr:twoCellAnchor>
    <xdr:from>
      <xdr:col>8</xdr:col>
      <xdr:colOff>85725</xdr:colOff>
      <xdr:row>8</xdr:row>
      <xdr:rowOff>4761</xdr:rowOff>
    </xdr:from>
    <xdr:to>
      <xdr:col>16</xdr:col>
      <xdr:colOff>209550</xdr:colOff>
      <xdr:row>30</xdr:row>
      <xdr:rowOff>9525</xdr:rowOff>
    </xdr:to>
    <xdr:graphicFrame macro="">
      <xdr:nvGraphicFramePr>
        <xdr:cNvPr id="7" name="Chart 6">
          <a:extLst>
            <a:ext uri="{FF2B5EF4-FFF2-40B4-BE49-F238E27FC236}">
              <a16:creationId xmlns:a16="http://schemas.microsoft.com/office/drawing/2014/main" xmlns="" id="{00000000-0008-0000-0A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180975</xdr:colOff>
      <xdr:row>6</xdr:row>
      <xdr:rowOff>47625</xdr:rowOff>
    </xdr:from>
    <xdr:to>
      <xdr:col>11</xdr:col>
      <xdr:colOff>571153</xdr:colOff>
      <xdr:row>8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B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7791450" y="47625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0</xdr:row>
      <xdr:rowOff>142875</xdr:rowOff>
    </xdr:from>
    <xdr:to>
      <xdr:col>4</xdr:col>
      <xdr:colOff>22225</xdr:colOff>
      <xdr:row>5</xdr:row>
      <xdr:rowOff>94798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B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428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76200</xdr:colOff>
      <xdr:row>1</xdr:row>
      <xdr:rowOff>76200</xdr:rowOff>
    </xdr:from>
    <xdr:to>
      <xdr:col>10</xdr:col>
      <xdr:colOff>655320</xdr:colOff>
      <xdr:row>4</xdr:row>
      <xdr:rowOff>83820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B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34200" y="2667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19050</xdr:colOff>
      <xdr:row>9</xdr:row>
      <xdr:rowOff>19050</xdr:rowOff>
    </xdr:from>
    <xdr:to>
      <xdr:col>16</xdr:col>
      <xdr:colOff>581025</xdr:colOff>
      <xdr:row>29</xdr:row>
      <xdr:rowOff>57150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2</xdr:col>
      <xdr:colOff>123825</xdr:colOff>
      <xdr:row>9</xdr:row>
      <xdr:rowOff>171450</xdr:rowOff>
    </xdr:from>
    <xdr:to>
      <xdr:col>2</xdr:col>
      <xdr:colOff>514003</xdr:colOff>
      <xdr:row>11</xdr:row>
      <xdr:rowOff>180628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C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343025" y="74295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161925</xdr:colOff>
      <xdr:row>0</xdr:row>
      <xdr:rowOff>142875</xdr:rowOff>
    </xdr:from>
    <xdr:to>
      <xdr:col>4</xdr:col>
      <xdr:colOff>22225</xdr:colOff>
      <xdr:row>5</xdr:row>
      <xdr:rowOff>94798</xdr:rowOff>
    </xdr:to>
    <xdr:pic>
      <xdr:nvPicPr>
        <xdr:cNvPr id="4" name="Picture 3" descr="USAID_Horiz_Serbian_RGB_2-Color">
          <a:extLst>
            <a:ext uri="{FF2B5EF4-FFF2-40B4-BE49-F238E27FC236}">
              <a16:creationId xmlns:a16="http://schemas.microsoft.com/office/drawing/2014/main" xmlns="" id="{00000000-0008-0000-0C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" y="1428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0</xdr:colOff>
      <xdr:row>2</xdr:row>
      <xdr:rowOff>0</xdr:rowOff>
    </xdr:from>
    <xdr:to>
      <xdr:col>10</xdr:col>
      <xdr:colOff>579120</xdr:colOff>
      <xdr:row>5</xdr:row>
      <xdr:rowOff>7620</xdr:rowOff>
    </xdr:to>
    <xdr:pic>
      <xdr:nvPicPr>
        <xdr:cNvPr id="5" name="Picture 4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C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0" y="3810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104775</xdr:colOff>
      <xdr:row>19</xdr:row>
      <xdr:rowOff>0</xdr:rowOff>
    </xdr:from>
    <xdr:to>
      <xdr:col>3</xdr:col>
      <xdr:colOff>494953</xdr:colOff>
      <xdr:row>21</xdr:row>
      <xdr:rowOff>9178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D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933575" y="247650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152400</xdr:colOff>
      <xdr:row>0</xdr:row>
      <xdr:rowOff>114300</xdr:rowOff>
    </xdr:from>
    <xdr:to>
      <xdr:col>4</xdr:col>
      <xdr:colOff>12700</xdr:colOff>
      <xdr:row>5</xdr:row>
      <xdr:rowOff>66223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D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1430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590550</xdr:colOff>
      <xdr:row>1</xdr:row>
      <xdr:rowOff>123825</xdr:rowOff>
    </xdr:from>
    <xdr:to>
      <xdr:col>10</xdr:col>
      <xdr:colOff>560070</xdr:colOff>
      <xdr:row>4</xdr:row>
      <xdr:rowOff>131445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D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76950" y="3143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048249" y="1743074"/>
          <a:ext cx="581025" cy="516467"/>
        </a:xfrm>
        <a:prstGeom prst="rect">
          <a:avLst/>
        </a:prstGeom>
      </xdr:spPr>
    </xdr:pic>
    <xdr:clientData fLocksWithSheet="0"/>
  </xdr:twoCellAnchor>
  <xdr:twoCellAnchor editAs="oneCell">
    <xdr:from>
      <xdr:col>6</xdr:col>
      <xdr:colOff>323849</xdr:colOff>
      <xdr:row>8</xdr:row>
      <xdr:rowOff>123824</xdr:rowOff>
    </xdr:from>
    <xdr:to>
      <xdr:col>7</xdr:col>
      <xdr:colOff>295274</xdr:colOff>
      <xdr:row>11</xdr:row>
      <xdr:rowOff>30691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5505449" y="1743074"/>
          <a:ext cx="581025" cy="516467"/>
        </a:xfrm>
        <a:prstGeom prst="rect">
          <a:avLst/>
        </a:prstGeom>
      </xdr:spPr>
    </xdr:pic>
    <xdr:clientData fLocksWithSheet="0"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1079500</xdr:colOff>
      <xdr:row>4</xdr:row>
      <xdr:rowOff>142423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8</xdr:col>
      <xdr:colOff>0</xdr:colOff>
      <xdr:row>1</xdr:row>
      <xdr:rowOff>0</xdr:rowOff>
    </xdr:from>
    <xdr:to>
      <xdr:col>8</xdr:col>
      <xdr:colOff>579120</xdr:colOff>
      <xdr:row>4</xdr:row>
      <xdr:rowOff>7620</xdr:rowOff>
    </xdr:to>
    <xdr:pic>
      <xdr:nvPicPr>
        <xdr:cNvPr id="3" name="Picture 2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72275" y="19050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400050</xdr:colOff>
      <xdr:row>12</xdr:row>
      <xdr:rowOff>161925</xdr:rowOff>
    </xdr:from>
    <xdr:to>
      <xdr:col>15</xdr:col>
      <xdr:colOff>228600</xdr:colOff>
      <xdr:row>14</xdr:row>
      <xdr:rowOff>171103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991850" y="1495425"/>
          <a:ext cx="438150" cy="390178"/>
        </a:xfrm>
        <a:prstGeom prst="rect">
          <a:avLst/>
        </a:prstGeom>
      </xdr:spPr>
    </xdr:pic>
    <xdr:clientData fLocksWithSheet="0"/>
  </xdr:twoCellAnchor>
  <xdr:twoCellAnchor editAs="oneCell">
    <xdr:from>
      <xdr:col>0</xdr:col>
      <xdr:colOff>114300</xdr:colOff>
      <xdr:row>0</xdr:row>
      <xdr:rowOff>95250</xdr:rowOff>
    </xdr:from>
    <xdr:to>
      <xdr:col>3</xdr:col>
      <xdr:colOff>584200</xdr:colOff>
      <xdr:row>5</xdr:row>
      <xdr:rowOff>47173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95250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447675</xdr:colOff>
      <xdr:row>1</xdr:row>
      <xdr:rowOff>9525</xdr:rowOff>
    </xdr:from>
    <xdr:to>
      <xdr:col>11</xdr:col>
      <xdr:colOff>417195</xdr:colOff>
      <xdr:row>4</xdr:row>
      <xdr:rowOff>17145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62850" y="2000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9525</xdr:colOff>
          <xdr:row>22</xdr:row>
          <xdr:rowOff>9525</xdr:rowOff>
        </xdr:from>
        <xdr:to>
          <xdr:col>9</xdr:col>
          <xdr:colOff>923925</xdr:colOff>
          <xdr:row>23</xdr:row>
          <xdr:rowOff>9525</xdr:rowOff>
        </xdr:to>
        <xdr:sp macro="" textlink="">
          <xdr:nvSpPr>
            <xdr:cNvPr id="8197" name="Check Box 5" hidden="1">
              <a:extLst>
                <a:ext uri="{63B3BB69-23CF-44E3-9099-C40C66FF867C}">
                  <a14:compatExt spid="_x0000_s81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 fLocksWithSheet="0"/>
      </xdr:twoCellAnchor>
    </mc:Choice>
    <mc:Fallback/>
  </mc:AlternateContent>
  <xdr:twoCellAnchor editAs="oneCell">
    <xdr:from>
      <xdr:col>15</xdr:col>
      <xdr:colOff>104775</xdr:colOff>
      <xdr:row>12</xdr:row>
      <xdr:rowOff>9525</xdr:rowOff>
    </xdr:from>
    <xdr:to>
      <xdr:col>15</xdr:col>
      <xdr:colOff>495300</xdr:colOff>
      <xdr:row>13</xdr:row>
      <xdr:rowOff>171450</xdr:rowOff>
    </xdr:to>
    <xdr:pic>
      <xdr:nvPicPr>
        <xdr:cNvPr id="3" name="Picture 2" descr="Home icon pin deal.  isolated on white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29625" y="1228725"/>
          <a:ext cx="390525" cy="3905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123825</xdr:colOff>
      <xdr:row>0</xdr:row>
      <xdr:rowOff>104775</xdr:rowOff>
    </xdr:from>
    <xdr:to>
      <xdr:col>3</xdr:col>
      <xdr:colOff>593725</xdr:colOff>
      <xdr:row>5</xdr:row>
      <xdr:rowOff>56698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3825" y="1047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12</xdr:col>
      <xdr:colOff>419100</xdr:colOff>
      <xdr:row>1</xdr:row>
      <xdr:rowOff>9525</xdr:rowOff>
    </xdr:from>
    <xdr:to>
      <xdr:col>13</xdr:col>
      <xdr:colOff>388620</xdr:colOff>
      <xdr:row>4</xdr:row>
      <xdr:rowOff>17145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24750" y="20002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114300</xdr:colOff>
      <xdr:row>12</xdr:row>
      <xdr:rowOff>19050</xdr:rowOff>
    </xdr:from>
    <xdr:to>
      <xdr:col>10</xdr:col>
      <xdr:colOff>504478</xdr:colOff>
      <xdr:row>14</xdr:row>
      <xdr:rowOff>28228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620250" y="123825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104775</xdr:colOff>
      <xdr:row>0</xdr:row>
      <xdr:rowOff>123825</xdr:rowOff>
    </xdr:from>
    <xdr:to>
      <xdr:col>2</xdr:col>
      <xdr:colOff>1184275</xdr:colOff>
      <xdr:row>5</xdr:row>
      <xdr:rowOff>75748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2382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7</xdr:col>
      <xdr:colOff>180975</xdr:colOff>
      <xdr:row>1</xdr:row>
      <xdr:rowOff>57150</xdr:rowOff>
    </xdr:from>
    <xdr:to>
      <xdr:col>8</xdr:col>
      <xdr:colOff>150495</xdr:colOff>
      <xdr:row>4</xdr:row>
      <xdr:rowOff>64770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858125" y="247650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202406</xdr:colOff>
      <xdr:row>6</xdr:row>
      <xdr:rowOff>23812</xdr:rowOff>
    </xdr:from>
    <xdr:to>
      <xdr:col>11</xdr:col>
      <xdr:colOff>592584</xdr:colOff>
      <xdr:row>7</xdr:row>
      <xdr:rowOff>152053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22469" y="23812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357188</xdr:colOff>
      <xdr:row>0</xdr:row>
      <xdr:rowOff>107156</xdr:rowOff>
    </xdr:from>
    <xdr:to>
      <xdr:col>3</xdr:col>
      <xdr:colOff>834232</xdr:colOff>
      <xdr:row>5</xdr:row>
      <xdr:rowOff>54316</xdr:rowOff>
    </xdr:to>
    <xdr:pic>
      <xdr:nvPicPr>
        <xdr:cNvPr id="3" name="Picture 2" descr="USAID_Horiz_Serbian_RGB_2-Color">
          <a:extLst>
            <a:ext uri="{FF2B5EF4-FFF2-40B4-BE49-F238E27FC236}">
              <a16:creationId xmlns:a16="http://schemas.microsoft.com/office/drawing/2014/main" xmlns="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8" y="107156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571500</xdr:colOff>
      <xdr:row>0</xdr:row>
      <xdr:rowOff>142875</xdr:rowOff>
    </xdr:from>
    <xdr:to>
      <xdr:col>10</xdr:col>
      <xdr:colOff>340995</xdr:colOff>
      <xdr:row>3</xdr:row>
      <xdr:rowOff>169545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46156" y="142875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202406</xdr:colOff>
      <xdr:row>6</xdr:row>
      <xdr:rowOff>0</xdr:rowOff>
    </xdr:from>
    <xdr:to>
      <xdr:col>11</xdr:col>
      <xdr:colOff>592584</xdr:colOff>
      <xdr:row>7</xdr:row>
      <xdr:rowOff>128240</xdr:rowOff>
    </xdr:to>
    <xdr:pic>
      <xdr:nvPicPr>
        <xdr:cNvPr id="3" name="Pictur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310562" y="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142875</xdr:colOff>
      <xdr:row>0</xdr:row>
      <xdr:rowOff>130969</xdr:rowOff>
    </xdr:from>
    <xdr:to>
      <xdr:col>3</xdr:col>
      <xdr:colOff>619919</xdr:colOff>
      <xdr:row>5</xdr:row>
      <xdr:rowOff>101942</xdr:rowOff>
    </xdr:to>
    <xdr:pic>
      <xdr:nvPicPr>
        <xdr:cNvPr id="2" name="Picture 1" descr="USAID_Horiz_Serbian_RGB_2-Color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30969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9</xdr:col>
      <xdr:colOff>773906</xdr:colOff>
      <xdr:row>1</xdr:row>
      <xdr:rowOff>83344</xdr:rowOff>
    </xdr:from>
    <xdr:to>
      <xdr:col>10</xdr:col>
      <xdr:colOff>543401</xdr:colOff>
      <xdr:row>4</xdr:row>
      <xdr:rowOff>110014</xdr:rowOff>
    </xdr:to>
    <xdr:pic>
      <xdr:nvPicPr>
        <xdr:cNvPr id="4" name="Picture 3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6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77125" y="273844"/>
          <a:ext cx="579120" cy="598170"/>
        </a:xfrm>
        <a:prstGeom prst="rect">
          <a:avLst/>
        </a:prstGeom>
        <a:noFill/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542925</xdr:colOff>
      <xdr:row>7</xdr:row>
      <xdr:rowOff>9525</xdr:rowOff>
    </xdr:from>
    <xdr:to>
      <xdr:col>15</xdr:col>
      <xdr:colOff>495300</xdr:colOff>
      <xdr:row>27</xdr:row>
      <xdr:rowOff>47625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xmlns="" id="{00000000-0008-0000-07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419100</xdr:colOff>
      <xdr:row>12</xdr:row>
      <xdr:rowOff>114300</xdr:rowOff>
    </xdr:from>
    <xdr:to>
      <xdr:col>2</xdr:col>
      <xdr:colOff>199678</xdr:colOff>
      <xdr:row>14</xdr:row>
      <xdr:rowOff>123478</xdr:rowOff>
    </xdr:to>
    <xdr:pic>
      <xdr:nvPicPr>
        <xdr:cNvPr id="3" name="Picture 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xmlns="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28700" y="1257300"/>
          <a:ext cx="390178" cy="390178"/>
        </a:xfrm>
        <a:prstGeom prst="rect">
          <a:avLst/>
        </a:prstGeom>
      </xdr:spPr>
    </xdr:pic>
    <xdr:clientData/>
  </xdr:twoCellAnchor>
  <xdr:twoCellAnchor editAs="oneCell">
    <xdr:from>
      <xdr:col>0</xdr:col>
      <xdr:colOff>133350</xdr:colOff>
      <xdr:row>0</xdr:row>
      <xdr:rowOff>66675</xdr:rowOff>
    </xdr:from>
    <xdr:to>
      <xdr:col>3</xdr:col>
      <xdr:colOff>603250</xdr:colOff>
      <xdr:row>5</xdr:row>
      <xdr:rowOff>18598</xdr:rowOff>
    </xdr:to>
    <xdr:pic>
      <xdr:nvPicPr>
        <xdr:cNvPr id="5" name="Picture 4" descr="USAID_Horiz_Serbian_RGB_2-Color">
          <a:extLst>
            <a:ext uri="{FF2B5EF4-FFF2-40B4-BE49-F238E27FC236}">
              <a16:creationId xmlns:a16="http://schemas.microsoft.com/office/drawing/2014/main" xmlns="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66675"/>
          <a:ext cx="2298700" cy="923473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485775</xdr:colOff>
      <xdr:row>1</xdr:row>
      <xdr:rowOff>76200</xdr:rowOff>
    </xdr:from>
    <xdr:to>
      <xdr:col>11</xdr:col>
      <xdr:colOff>455295</xdr:colOff>
      <xdr:row>4</xdr:row>
      <xdr:rowOff>83820</xdr:rowOff>
    </xdr:to>
    <xdr:pic>
      <xdr:nvPicPr>
        <xdr:cNvPr id="6" name="Picture 5" descr="A picture containing graphics, circle, colorfulness, symbol&#10;&#10;Description automatically generated">
          <a:extLst>
            <a:ext uri="{FF2B5EF4-FFF2-40B4-BE49-F238E27FC236}">
              <a16:creationId xmlns:a16="http://schemas.microsoft.com/office/drawing/2014/main" xmlns="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581775" y="266700"/>
          <a:ext cx="579120" cy="598170"/>
        </a:xfrm>
        <a:prstGeom prst="rect">
          <a:avLst/>
        </a:prstGeom>
        <a:noFill/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oplotna%20pumpa%20velikog%20kapacite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cetna"/>
      <sheetName val="KonvFaktor"/>
      <sheetName val="PomTab1"/>
      <sheetName val="UnosPodataka"/>
      <sheetName val="EnergyCosts"/>
      <sheetName val="Annuity"/>
      <sheetName val="FinaIndicators"/>
      <sheetName val="FinInd+CO2"/>
      <sheetName val="GraphFina"/>
      <sheetName val="Graf+CO2"/>
      <sheetName val="LCoEE"/>
      <sheetName val="Osetljivost"/>
      <sheetName val="AkoESCO"/>
      <sheetName val="ESCOGrafFina"/>
      <sheetName val="REZIME"/>
      <sheetName val="Goriv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../../../AppData/Roaming/Microsoft/Excel/PROJEKAT%20-%20POCETNA%20STRANA.xlsx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3:R25"/>
  <sheetViews>
    <sheetView workbookViewId="0"/>
  </sheetViews>
  <sheetFormatPr defaultRowHeight="15" x14ac:dyDescent="0.25"/>
  <sheetData>
    <row r="3" spans="2:18" ht="16.5" x14ac:dyDescent="0.35">
      <c r="G3" s="57" t="s">
        <v>154</v>
      </c>
      <c r="H3" s="57"/>
      <c r="I3" s="57"/>
      <c r="J3" s="57"/>
    </row>
    <row r="8" spans="2:18" x14ac:dyDescent="0.25">
      <c r="B8" s="58" t="s">
        <v>0</v>
      </c>
      <c r="C8" s="58"/>
      <c r="D8" s="58"/>
      <c r="E8" s="58"/>
      <c r="F8" s="58"/>
      <c r="G8" s="58"/>
      <c r="H8" s="58"/>
      <c r="I8" s="58"/>
      <c r="J8" s="58"/>
      <c r="K8" s="58"/>
    </row>
    <row r="9" spans="2:18" x14ac:dyDescent="0.25">
      <c r="B9" s="58"/>
      <c r="C9" s="58"/>
      <c r="D9" s="58"/>
      <c r="E9" s="58"/>
      <c r="F9" s="58"/>
      <c r="G9" s="58"/>
      <c r="H9" s="58"/>
      <c r="I9" s="58"/>
      <c r="J9" s="58"/>
      <c r="K9" s="58"/>
    </row>
    <row r="10" spans="2:18" x14ac:dyDescent="0.25">
      <c r="B10" s="58"/>
      <c r="C10" s="58"/>
      <c r="D10" s="58"/>
      <c r="E10" s="58"/>
      <c r="F10" s="58"/>
      <c r="G10" s="58"/>
      <c r="H10" s="58"/>
      <c r="I10" s="58"/>
      <c r="J10" s="58"/>
      <c r="K10" s="58"/>
      <c r="M10" s="59" t="s">
        <v>2</v>
      </c>
      <c r="N10" s="59"/>
      <c r="O10" s="59"/>
      <c r="P10" s="59"/>
      <c r="Q10" s="59"/>
      <c r="R10" s="59"/>
    </row>
    <row r="11" spans="2:18" x14ac:dyDescent="0.25">
      <c r="B11" s="58"/>
      <c r="C11" s="58"/>
      <c r="D11" s="58"/>
      <c r="E11" s="58"/>
      <c r="F11" s="58"/>
      <c r="G11" s="58"/>
      <c r="H11" s="58"/>
      <c r="I11" s="58"/>
      <c r="J11" s="58"/>
      <c r="K11" s="58"/>
      <c r="M11" s="59"/>
      <c r="N11" s="59"/>
      <c r="O11" s="59"/>
      <c r="P11" s="59"/>
      <c r="Q11" s="59"/>
      <c r="R11" s="59"/>
    </row>
    <row r="12" spans="2:18" x14ac:dyDescent="0.25">
      <c r="B12" s="58"/>
      <c r="C12" s="58"/>
      <c r="D12" s="58"/>
      <c r="E12" s="58"/>
      <c r="F12" s="58"/>
      <c r="G12" s="58"/>
      <c r="H12" s="58"/>
      <c r="I12" s="58"/>
      <c r="J12" s="58"/>
      <c r="K12" s="58"/>
    </row>
    <row r="13" spans="2:18" x14ac:dyDescent="0.25">
      <c r="B13" s="58"/>
      <c r="C13" s="58"/>
      <c r="D13" s="58"/>
      <c r="E13" s="58"/>
      <c r="F13" s="58"/>
      <c r="G13" s="58"/>
      <c r="H13" s="58"/>
      <c r="I13" s="58"/>
      <c r="J13" s="58"/>
      <c r="K13" s="58"/>
      <c r="M13" s="60" t="s">
        <v>48</v>
      </c>
      <c r="N13" s="60"/>
      <c r="O13" s="60"/>
      <c r="P13" s="60"/>
      <c r="Q13" s="60"/>
      <c r="R13" s="60"/>
    </row>
    <row r="14" spans="2:18" x14ac:dyDescent="0.25">
      <c r="B14" s="58"/>
      <c r="C14" s="58"/>
      <c r="D14" s="58"/>
      <c r="E14" s="58"/>
      <c r="F14" s="58"/>
      <c r="G14" s="58"/>
      <c r="H14" s="58"/>
      <c r="I14" s="58"/>
      <c r="J14" s="58"/>
      <c r="K14" s="58"/>
    </row>
    <row r="15" spans="2:18" x14ac:dyDescent="0.25">
      <c r="B15" s="58"/>
      <c r="C15" s="58"/>
      <c r="D15" s="58"/>
      <c r="E15" s="58"/>
      <c r="F15" s="58"/>
      <c r="G15" s="58"/>
      <c r="H15" s="58"/>
      <c r="I15" s="58"/>
      <c r="J15" s="58"/>
      <c r="K15" s="58"/>
      <c r="M15" s="62" t="s">
        <v>139</v>
      </c>
      <c r="N15" s="62"/>
      <c r="O15" s="61"/>
      <c r="P15" s="61"/>
      <c r="Q15" s="63" t="s">
        <v>140</v>
      </c>
      <c r="R15" s="63"/>
    </row>
    <row r="16" spans="2:18" x14ac:dyDescent="0.25">
      <c r="B16" s="58"/>
      <c r="C16" s="58"/>
      <c r="D16" s="58"/>
      <c r="E16" s="58"/>
      <c r="F16" s="58"/>
      <c r="G16" s="58"/>
      <c r="H16" s="58"/>
      <c r="I16" s="58"/>
      <c r="J16" s="58"/>
      <c r="K16" s="58"/>
      <c r="M16" s="62"/>
      <c r="N16" s="62"/>
      <c r="O16" s="61"/>
      <c r="P16" s="61"/>
      <c r="Q16" s="63"/>
      <c r="R16" s="63"/>
    </row>
    <row r="17" spans="2:11" x14ac:dyDescent="0.25">
      <c r="B17" s="58"/>
      <c r="C17" s="58"/>
      <c r="D17" s="58"/>
      <c r="E17" s="58"/>
      <c r="F17" s="58"/>
      <c r="G17" s="58"/>
      <c r="H17" s="58"/>
      <c r="I17" s="58"/>
      <c r="J17" s="58"/>
      <c r="K17" s="58"/>
    </row>
    <row r="18" spans="2:11" x14ac:dyDescent="0.25">
      <c r="B18" s="58"/>
      <c r="C18" s="58"/>
      <c r="D18" s="58"/>
      <c r="E18" s="58"/>
      <c r="F18" s="58"/>
      <c r="G18" s="58"/>
      <c r="H18" s="58"/>
      <c r="I18" s="58"/>
      <c r="J18" s="58"/>
      <c r="K18" s="58"/>
    </row>
    <row r="19" spans="2:11" x14ac:dyDescent="0.25">
      <c r="B19" s="58"/>
      <c r="C19" s="58"/>
      <c r="D19" s="58"/>
      <c r="E19" s="58"/>
      <c r="F19" s="58"/>
      <c r="G19" s="58"/>
      <c r="H19" s="58"/>
      <c r="I19" s="58"/>
      <c r="J19" s="58"/>
      <c r="K19" s="58"/>
    </row>
    <row r="20" spans="2:11" x14ac:dyDescent="0.25">
      <c r="B20" s="58"/>
      <c r="C20" s="58"/>
      <c r="D20" s="58"/>
      <c r="E20" s="58"/>
      <c r="F20" s="58"/>
      <c r="G20" s="58"/>
      <c r="H20" s="58"/>
      <c r="I20" s="58"/>
      <c r="J20" s="58"/>
      <c r="K20" s="58"/>
    </row>
    <row r="21" spans="2:11" x14ac:dyDescent="0.25">
      <c r="B21" s="58"/>
      <c r="C21" s="58"/>
      <c r="D21" s="58"/>
      <c r="E21" s="58"/>
      <c r="F21" s="58"/>
      <c r="G21" s="58"/>
      <c r="H21" s="58"/>
      <c r="I21" s="58"/>
      <c r="J21" s="58"/>
      <c r="K21" s="58"/>
    </row>
    <row r="22" spans="2:11" x14ac:dyDescent="0.25">
      <c r="B22" s="58"/>
      <c r="C22" s="58"/>
      <c r="D22" s="58"/>
      <c r="E22" s="58"/>
      <c r="F22" s="58"/>
      <c r="G22" s="58"/>
      <c r="H22" s="58"/>
      <c r="I22" s="58"/>
      <c r="J22" s="58"/>
      <c r="K22" s="58"/>
    </row>
    <row r="23" spans="2:11" x14ac:dyDescent="0.25">
      <c r="B23" s="58"/>
      <c r="C23" s="58"/>
      <c r="D23" s="58"/>
      <c r="E23" s="58"/>
      <c r="F23" s="58"/>
      <c r="G23" s="58"/>
      <c r="H23" s="58"/>
      <c r="I23" s="58"/>
      <c r="J23" s="58"/>
      <c r="K23" s="58"/>
    </row>
    <row r="24" spans="2:11" x14ac:dyDescent="0.25">
      <c r="B24" s="58"/>
      <c r="C24" s="58"/>
      <c r="D24" s="58"/>
      <c r="E24" s="58"/>
      <c r="F24" s="58"/>
      <c r="G24" s="58"/>
      <c r="H24" s="58"/>
      <c r="I24" s="58"/>
      <c r="J24" s="58"/>
      <c r="K24" s="58"/>
    </row>
    <row r="25" spans="2:11" x14ac:dyDescent="0.25">
      <c r="B25" s="58"/>
      <c r="C25" s="58"/>
      <c r="D25" s="58"/>
      <c r="E25" s="58"/>
      <c r="F25" s="58"/>
      <c r="G25" s="58"/>
      <c r="H25" s="58"/>
      <c r="I25" s="58"/>
      <c r="J25" s="58"/>
      <c r="K25" s="58"/>
    </row>
  </sheetData>
  <sheetProtection selectLockedCells="1"/>
  <mergeCells count="7">
    <mergeCell ref="G3:J3"/>
    <mergeCell ref="B8:K25"/>
    <mergeCell ref="M10:R11"/>
    <mergeCell ref="M13:R13"/>
    <mergeCell ref="O15:P16"/>
    <mergeCell ref="M15:N16"/>
    <mergeCell ref="Q15:R16"/>
  </mergeCells>
  <hyperlinks>
    <hyperlink ref="M15:N16" r:id="rId1" display="NAZAD"/>
    <hyperlink ref="Q15:R16" location="UnosPodataka!B2" display="DALJE"/>
  </hyperlinks>
  <pageMargins left="0.7" right="0.7" top="0.75" bottom="0.75" header="0.3" footer="0.3"/>
  <pageSetup paperSize="9" orientation="portrait" r:id="rId2"/>
  <drawing r:id="rId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Ograničenje" error="Može se izabrati samo projekat sa liste" promptTitle="Projekat koji se analizira" prompt="Izaberi projekat koji će se analizirati">
          <x14:formula1>
            <xm:f>PomTab1!$C$7:$C$23</xm:f>
          </x14:formula1>
          <xm:sqref>M13:R13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4:J12"/>
  <sheetViews>
    <sheetView workbookViewId="0">
      <selection activeCell="R23" sqref="R23"/>
    </sheetView>
  </sheetViews>
  <sheetFormatPr defaultRowHeight="15" x14ac:dyDescent="0.25"/>
  <sheetData>
    <row r="4" spans="1:10" ht="16.5" x14ac:dyDescent="0.35">
      <c r="G4" s="57" t="s">
        <v>154</v>
      </c>
      <c r="H4" s="57"/>
      <c r="I4" s="57"/>
      <c r="J4" s="57"/>
    </row>
    <row r="7" spans="1:10" ht="15" customHeight="1" x14ac:dyDescent="0.25">
      <c r="A7" s="59" t="s">
        <v>127</v>
      </c>
      <c r="B7" s="59"/>
      <c r="C7" s="59"/>
      <c r="D7" s="59"/>
    </row>
    <row r="8" spans="1:10" ht="15" customHeight="1" x14ac:dyDescent="0.25">
      <c r="A8" s="59"/>
      <c r="B8" s="59"/>
      <c r="C8" s="59"/>
      <c r="D8" s="59"/>
    </row>
    <row r="9" spans="1:10" x14ac:dyDescent="0.25">
      <c r="A9" s="59"/>
      <c r="B9" s="59"/>
      <c r="C9" s="59"/>
      <c r="D9" s="59"/>
    </row>
    <row r="11" spans="1:10" x14ac:dyDescent="0.25">
      <c r="A11" s="62" t="s">
        <v>139</v>
      </c>
      <c r="B11" s="62"/>
      <c r="C11" s="75" t="s">
        <v>140</v>
      </c>
      <c r="D11" s="75"/>
    </row>
    <row r="12" spans="1:10" x14ac:dyDescent="0.25">
      <c r="A12" s="62"/>
      <c r="B12" s="62"/>
      <c r="C12" s="75"/>
      <c r="D12" s="75"/>
    </row>
  </sheetData>
  <sheetProtection selectLockedCells="1" selectUnlockedCells="1"/>
  <mergeCells count="4">
    <mergeCell ref="A7:D9"/>
    <mergeCell ref="A11:B12"/>
    <mergeCell ref="C11:D12"/>
    <mergeCell ref="G4:J4"/>
  </mergeCells>
  <hyperlinks>
    <hyperlink ref="C11:D12" location="LCoEE!A1" display="DALJE"/>
    <hyperlink ref="A11:B12" location="GrafFina!A5" display="NAZAD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4:AB21"/>
  <sheetViews>
    <sheetView zoomScaleNormal="100" workbookViewId="0">
      <selection activeCell="J21" sqref="J21"/>
    </sheetView>
  </sheetViews>
  <sheetFormatPr defaultRowHeight="15" x14ac:dyDescent="0.25"/>
  <cols>
    <col min="6" max="6" width="13.5703125" customWidth="1"/>
    <col min="7" max="9" width="10.5703125" customWidth="1"/>
    <col min="10" max="10" width="10.42578125" customWidth="1"/>
    <col min="11" max="11" width="11" customWidth="1"/>
    <col min="12" max="12" width="11.7109375" customWidth="1"/>
    <col min="13" max="13" width="11.5703125" customWidth="1"/>
    <col min="14" max="14" width="11.42578125" customWidth="1"/>
    <col min="15" max="15" width="10.7109375" customWidth="1"/>
    <col min="16" max="16" width="11" customWidth="1"/>
    <col min="17" max="17" width="11.7109375" customWidth="1"/>
    <col min="18" max="18" width="11.140625" customWidth="1"/>
    <col min="19" max="19" width="11" customWidth="1"/>
    <col min="20" max="20" width="11.140625" customWidth="1"/>
    <col min="21" max="21" width="10.7109375" customWidth="1"/>
    <col min="22" max="22" width="11.140625" customWidth="1"/>
    <col min="23" max="23" width="12" customWidth="1"/>
    <col min="24" max="24" width="11" customWidth="1"/>
    <col min="25" max="25" width="10.42578125" customWidth="1"/>
  </cols>
  <sheetData>
    <row r="4" spans="1:28" ht="16.5" x14ac:dyDescent="0.35">
      <c r="G4" s="57" t="s">
        <v>154</v>
      </c>
      <c r="H4" s="57"/>
      <c r="I4" s="57"/>
      <c r="J4" s="57"/>
    </row>
    <row r="7" spans="1:28" x14ac:dyDescent="0.25">
      <c r="A7" s="81" t="s">
        <v>128</v>
      </c>
      <c r="B7" s="81"/>
      <c r="C7" s="81"/>
      <c r="D7" s="81"/>
      <c r="I7" s="62" t="s">
        <v>139</v>
      </c>
      <c r="J7" s="62"/>
      <c r="N7" s="75" t="s">
        <v>140</v>
      </c>
      <c r="O7" s="75"/>
    </row>
    <row r="8" spans="1:28" x14ac:dyDescent="0.25">
      <c r="A8" s="81"/>
      <c r="B8" s="81"/>
      <c r="C8" s="81"/>
      <c r="D8" s="81"/>
      <c r="I8" s="62"/>
      <c r="J8" s="62"/>
      <c r="N8" s="75"/>
      <c r="O8" s="75"/>
    </row>
    <row r="10" spans="1:28" x14ac:dyDescent="0.25">
      <c r="A10" s="67" t="s">
        <v>119</v>
      </c>
      <c r="B10" s="67"/>
      <c r="C10" s="67"/>
      <c r="D10" s="67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  <c r="Z10" s="18"/>
      <c r="AA10" s="18"/>
      <c r="AB10" s="18"/>
    </row>
    <row r="12" spans="1:28" x14ac:dyDescent="0.25">
      <c r="A12" s="69" t="s">
        <v>129</v>
      </c>
      <c r="B12" s="69"/>
      <c r="C12" s="69"/>
      <c r="D12" s="69"/>
      <c r="E12" s="3"/>
      <c r="F12" s="3">
        <f>Investment</f>
        <v>243000</v>
      </c>
    </row>
    <row r="13" spans="1:28" x14ac:dyDescent="0.25">
      <c r="A13" s="69" t="s">
        <v>130</v>
      </c>
      <c r="B13" s="69"/>
      <c r="C13" s="69"/>
      <c r="D13" s="69"/>
      <c r="F13" s="3">
        <f>IF(F10&lt;&gt;"",-(FinaIndikatori!F31+FinaIndikatori!F36),"")</f>
        <v>78334.319666780983</v>
      </c>
      <c r="G13" s="3">
        <f>IF(G10&lt;&gt;"",-(FinaIndikatori!G31+FinaIndikatori!G36),"")</f>
        <v>78117.728897353722</v>
      </c>
      <c r="H13" s="3">
        <f>IF(H10&lt;&gt;"",-(FinaIndikatori!H31+FinaIndikatori!H36),"")</f>
        <v>77875.147235595185</v>
      </c>
      <c r="I13" s="3">
        <f>IF(I10&lt;&gt;"",-(FinaIndikatori!I31+FinaIndikatori!I36),"")</f>
        <v>77603.455774425631</v>
      </c>
      <c r="J13" s="3">
        <f>IF(J10&lt;&gt;"",-(FinaIndikatori!J31+FinaIndikatori!J36),"")</f>
        <v>77299.161337915721</v>
      </c>
      <c r="K13" s="3">
        <f>IF(K10&lt;&gt;"",-(FinaIndikatori!K31+FinaIndikatori!K36),"")</f>
        <v>76958.351569024628</v>
      </c>
      <c r="L13" s="3">
        <f>IF(L10&lt;&gt;"",-(FinaIndikatori!L31+FinaIndikatori!L36),"")</f>
        <v>76576.644627866612</v>
      </c>
      <c r="M13" s="3">
        <f>IF(M10&lt;&gt;"",-(FinaIndikatori!M31+FinaIndikatori!M36),"")</f>
        <v>76149.13285376961</v>
      </c>
      <c r="N13" s="3">
        <f>IF(N10&lt;&gt;"",-(FinaIndikatori!N31+FinaIndikatori!N36),"")</f>
        <v>45877.499143044144</v>
      </c>
      <c r="O13" s="3">
        <f>IF(O10&lt;&gt;"",-(FinaIndikatori!O31+FinaIndikatori!O36),"")</f>
        <v>45877.499143044144</v>
      </c>
      <c r="P13" s="3">
        <f>IF(P10&lt;&gt;"",-(FinaIndikatori!P31+FinaIndikatori!P36),"")</f>
        <v>45877.499143044144</v>
      </c>
      <c r="Q13" s="3">
        <f>IF(Q10&lt;&gt;"",-(FinaIndikatori!Q31+FinaIndikatori!Q36),"")</f>
        <v>45877.499143044144</v>
      </c>
      <c r="R13" s="3">
        <f>IF(R10&lt;&gt;"",-(FinaIndikatori!R31+FinaIndikatori!R36),"")</f>
        <v>45877.499143044144</v>
      </c>
      <c r="S13" s="3">
        <f>IF(S10&lt;&gt;"",-(FinaIndikatori!S31+FinaIndikatori!S36),"")</f>
        <v>45877.499143044144</v>
      </c>
      <c r="T13" s="3">
        <f>IF(T10&lt;&gt;"",-(FinaIndikatori!T31+FinaIndikatori!T36),"")</f>
        <v>45877.499143044144</v>
      </c>
      <c r="U13" s="3">
        <f>IF(U10&lt;&gt;"",-(FinaIndikatori!U31+FinaIndikatori!U36),"")</f>
        <v>45877.499143044144</v>
      </c>
      <c r="V13" s="3">
        <f>IF(V10&lt;&gt;"",-(FinaIndikatori!V31+FinaIndikatori!V36),"")</f>
        <v>45877.499143044144</v>
      </c>
      <c r="W13" s="3">
        <f>IF(W10&lt;&gt;"",-(FinaIndikatori!W31+FinaIndikatori!W36),"")</f>
        <v>45877.499143044144</v>
      </c>
      <c r="X13" s="3">
        <f>IF(X10&lt;&gt;"",-(FinaIndikatori!X31+FinaIndikatori!X36),"")</f>
        <v>45877.499143044144</v>
      </c>
      <c r="Y13" s="3">
        <f>IF(Y10&lt;&gt;"",-(FinaIndikatori!Y31+FinaIndikatori!Y36),"")</f>
        <v>45877.499143044144</v>
      </c>
    </row>
    <row r="14" spans="1:28" x14ac:dyDescent="0.25">
      <c r="A14" s="69" t="s">
        <v>131</v>
      </c>
      <c r="B14" s="69"/>
      <c r="C14" s="69"/>
      <c r="D14" s="69"/>
      <c r="E14" s="3"/>
      <c r="F14" s="3">
        <f t="shared" ref="F14:Y14" si="0">IF(F10&lt;&gt;"",F12+F13,"")</f>
        <v>321334.319666781</v>
      </c>
      <c r="G14" s="3">
        <f t="shared" si="0"/>
        <v>78117.728897353722</v>
      </c>
      <c r="H14" s="3">
        <f t="shared" si="0"/>
        <v>77875.147235595185</v>
      </c>
      <c r="I14" s="3">
        <f t="shared" si="0"/>
        <v>77603.455774425631</v>
      </c>
      <c r="J14" s="3">
        <f t="shared" si="0"/>
        <v>77299.161337915721</v>
      </c>
      <c r="K14" s="3">
        <f t="shared" si="0"/>
        <v>76958.351569024628</v>
      </c>
      <c r="L14" s="3">
        <f t="shared" si="0"/>
        <v>76576.644627866612</v>
      </c>
      <c r="M14" s="3">
        <f t="shared" si="0"/>
        <v>76149.13285376961</v>
      </c>
      <c r="N14" s="3">
        <f t="shared" si="0"/>
        <v>45877.499143044144</v>
      </c>
      <c r="O14" s="3">
        <f t="shared" si="0"/>
        <v>45877.499143044144</v>
      </c>
      <c r="P14" s="3">
        <f t="shared" si="0"/>
        <v>45877.499143044144</v>
      </c>
      <c r="Q14" s="3">
        <f t="shared" si="0"/>
        <v>45877.499143044144</v>
      </c>
      <c r="R14" s="3">
        <f t="shared" si="0"/>
        <v>45877.499143044144</v>
      </c>
      <c r="S14" s="3">
        <f t="shared" si="0"/>
        <v>45877.499143044144</v>
      </c>
      <c r="T14" s="3">
        <f t="shared" si="0"/>
        <v>45877.499143044144</v>
      </c>
      <c r="U14" s="3">
        <f t="shared" si="0"/>
        <v>45877.499143044144</v>
      </c>
      <c r="V14" s="3">
        <f t="shared" si="0"/>
        <v>45877.499143044144</v>
      </c>
      <c r="W14" s="3">
        <f t="shared" si="0"/>
        <v>45877.499143044144</v>
      </c>
      <c r="X14" s="3">
        <f t="shared" si="0"/>
        <v>45877.499143044144</v>
      </c>
      <c r="Y14" s="3">
        <f t="shared" si="0"/>
        <v>45877.499143044144</v>
      </c>
    </row>
    <row r="15" spans="1:28" x14ac:dyDescent="0.25">
      <c r="A15" s="70"/>
      <c r="B15" s="70"/>
      <c r="C15" s="70"/>
      <c r="D15" s="70"/>
    </row>
    <row r="16" spans="1:28" x14ac:dyDescent="0.25">
      <c r="A16" s="69" t="s">
        <v>104</v>
      </c>
      <c r="B16" s="69"/>
      <c r="C16" s="69"/>
      <c r="D16" s="69"/>
      <c r="F16" s="3">
        <f>IF(F10&lt;&gt;"",FinaIndikatori!F14,"")</f>
        <v>1100</v>
      </c>
      <c r="G16" s="3">
        <f>IF(G10&lt;&gt;"",FinaIndikatori!G14,"")</f>
        <v>1100</v>
      </c>
      <c r="H16" s="3">
        <f>IF(H10&lt;&gt;"",FinaIndikatori!H14,"")</f>
        <v>1100</v>
      </c>
      <c r="I16" s="3">
        <f>IF(I10&lt;&gt;"",FinaIndikatori!I14,"")</f>
        <v>1100</v>
      </c>
      <c r="J16" s="3">
        <f>IF(J10&lt;&gt;"",FinaIndikatori!J14,"")</f>
        <v>1100</v>
      </c>
      <c r="K16" s="3">
        <f>IF(K10&lt;&gt;"",FinaIndikatori!K14,"")</f>
        <v>1100</v>
      </c>
      <c r="L16" s="3">
        <f>IF(L10&lt;&gt;"",FinaIndikatori!L14,"")</f>
        <v>1100</v>
      </c>
      <c r="M16" s="3">
        <f>IF(M10&lt;&gt;"",FinaIndikatori!M14,"")</f>
        <v>1100</v>
      </c>
      <c r="N16" s="3">
        <f>IF(N10&lt;&gt;"",FinaIndikatori!N14,"")</f>
        <v>1100</v>
      </c>
      <c r="O16" s="3">
        <f>IF(O10&lt;&gt;"",FinaIndikatori!O14,"")</f>
        <v>1100</v>
      </c>
      <c r="P16" s="3">
        <f>IF(P10&lt;&gt;"",FinaIndikatori!P14,"")</f>
        <v>1100</v>
      </c>
      <c r="Q16" s="3">
        <f>IF(Q10&lt;&gt;"",FinaIndikatori!Q14,"")</f>
        <v>1100</v>
      </c>
      <c r="R16" s="3">
        <f>IF(R10&lt;&gt;"",FinaIndikatori!R14,"")</f>
        <v>1100</v>
      </c>
      <c r="S16" s="3">
        <f>IF(S10&lt;&gt;"",FinaIndikatori!S14,"")</f>
        <v>1100</v>
      </c>
      <c r="T16" s="3">
        <f>IF(T10&lt;&gt;"",FinaIndikatori!T14,"")</f>
        <v>1100</v>
      </c>
      <c r="U16" s="3">
        <f>IF(U10&lt;&gt;"",FinaIndikatori!U14,"")</f>
        <v>1100</v>
      </c>
      <c r="V16" s="3">
        <f>IF(V10&lt;&gt;"",FinaIndikatori!V14,"")</f>
        <v>1100</v>
      </c>
      <c r="W16" s="3">
        <f>IF(W10&lt;&gt;"",FinaIndikatori!W14,"")</f>
        <v>1100</v>
      </c>
      <c r="X16" s="3">
        <f>IF(X10&lt;&gt;"",FinaIndikatori!X14,"")</f>
        <v>1100</v>
      </c>
      <c r="Y16" s="3">
        <f>IF(Y10&lt;&gt;"",FinaIndikatori!Y14,"")</f>
        <v>1100</v>
      </c>
    </row>
    <row r="17" spans="1:25" ht="18" x14ac:dyDescent="0.35">
      <c r="A17" s="69" t="s">
        <v>120</v>
      </c>
      <c r="B17" s="69"/>
      <c r="C17" s="69"/>
      <c r="D17" s="69"/>
      <c r="F17" s="3">
        <f>IF(F10&lt;&gt;"",'FinInd+CO2'!F16,"")</f>
        <v>-208.96710473380719</v>
      </c>
      <c r="G17" s="3">
        <f>IF(G10&lt;&gt;"",'FinInd+CO2'!G16,"")</f>
        <v>-208.96710473380719</v>
      </c>
      <c r="H17" s="3">
        <f>IF(H10&lt;&gt;"",'FinInd+CO2'!H16,"")</f>
        <v>-208.96710473380719</v>
      </c>
      <c r="I17" s="3">
        <f>IF(I10&lt;&gt;"",'FinInd+CO2'!I16,"")</f>
        <v>-208.96710473380719</v>
      </c>
      <c r="J17" s="3">
        <f>IF(J10&lt;&gt;"",'FinInd+CO2'!J16,"")</f>
        <v>-208.96710473380719</v>
      </c>
      <c r="K17" s="3">
        <f>IF(K10&lt;&gt;"",'FinInd+CO2'!K16,"")</f>
        <v>-208.96710473380719</v>
      </c>
      <c r="L17" s="3">
        <f>IF(L10&lt;&gt;"",'FinInd+CO2'!L16,"")</f>
        <v>-208.96710473380719</v>
      </c>
      <c r="M17" s="3">
        <f>IF(M10&lt;&gt;"",'FinInd+CO2'!M16,"")</f>
        <v>-208.96710473380719</v>
      </c>
      <c r="N17" s="3">
        <f>IF(N10&lt;&gt;"",'FinInd+CO2'!N16,"")</f>
        <v>-208.96710473380719</v>
      </c>
      <c r="O17" s="3">
        <f>IF(O10&lt;&gt;"",'FinInd+CO2'!O16,"")</f>
        <v>-208.96710473380719</v>
      </c>
      <c r="P17" s="3">
        <f>IF(P10&lt;&gt;"",'FinInd+CO2'!P16,"")</f>
        <v>-208.96710473380719</v>
      </c>
      <c r="Q17" s="3">
        <f>IF(Q10&lt;&gt;"",'FinInd+CO2'!Q16,"")</f>
        <v>-208.96710473380719</v>
      </c>
      <c r="R17" s="3">
        <f>IF(R10&lt;&gt;"",'FinInd+CO2'!R16,"")</f>
        <v>-208.96710473380719</v>
      </c>
      <c r="S17" s="3">
        <f>IF(S10&lt;&gt;"",'FinInd+CO2'!S16,"")</f>
        <v>-208.96710473380719</v>
      </c>
      <c r="T17" s="3">
        <f>IF(T10&lt;&gt;"",'FinInd+CO2'!T16,"")</f>
        <v>-208.96710473380719</v>
      </c>
      <c r="U17" s="3">
        <f>IF(U10&lt;&gt;"",'FinInd+CO2'!U16,"")</f>
        <v>-208.96710473380719</v>
      </c>
      <c r="V17" s="3">
        <f>IF(V10&lt;&gt;"",'FinInd+CO2'!V16,"")</f>
        <v>-208.96710473380719</v>
      </c>
      <c r="W17" s="3">
        <f>IF(W10&lt;&gt;"",'FinInd+CO2'!W16,"")</f>
        <v>-208.96710473380719</v>
      </c>
      <c r="X17" s="3">
        <f>IF(X10&lt;&gt;"",'FinInd+CO2'!X16,"")</f>
        <v>-208.96710473380719</v>
      </c>
      <c r="Y17" s="3">
        <f>IF(Y10&lt;&gt;"",'FinInd+CO2'!Y16,"")</f>
        <v>-208.96710473380719</v>
      </c>
    </row>
    <row r="19" spans="1:25" x14ac:dyDescent="0.25">
      <c r="A19" s="67" t="s">
        <v>27</v>
      </c>
      <c r="B19" s="67"/>
      <c r="C19" s="67"/>
      <c r="D19" s="67"/>
      <c r="E19" s="3">
        <f>NPV(UnosPodataka!M19,LCoEE!F14:Y14)/NPV(UnosPodataka!M19,LCoEE!F16:Y16)</f>
        <v>75.419875881630205</v>
      </c>
    </row>
    <row r="20" spans="1:25" ht="18" x14ac:dyDescent="0.35">
      <c r="A20" s="67" t="s">
        <v>28</v>
      </c>
      <c r="B20" s="67"/>
      <c r="C20" s="67"/>
      <c r="D20" s="67"/>
      <c r="E20" s="15" t="str">
        <f>IF(F17&lt;0,"-",NPV(UnosPodataka!M19,LCoEE!F14:Y14)/NPV(UnosPodataka!M19,LCoEE!F17:Y17))</f>
        <v>-</v>
      </c>
    </row>
    <row r="21" spans="1:25" x14ac:dyDescent="0.25">
      <c r="E21" s="6"/>
    </row>
  </sheetData>
  <sheetProtection selectLockedCells="1"/>
  <mergeCells count="13">
    <mergeCell ref="A20:D20"/>
    <mergeCell ref="A7:D8"/>
    <mergeCell ref="A10:D10"/>
    <mergeCell ref="A12:D12"/>
    <mergeCell ref="A13:D13"/>
    <mergeCell ref="A14:D14"/>
    <mergeCell ref="A15:D15"/>
    <mergeCell ref="N7:O8"/>
    <mergeCell ref="A16:D16"/>
    <mergeCell ref="A17:D17"/>
    <mergeCell ref="A19:D19"/>
    <mergeCell ref="G4:J4"/>
    <mergeCell ref="I7:J8"/>
  </mergeCells>
  <hyperlinks>
    <hyperlink ref="N7:O8" location="SALCoEE!A1" display="DALJE"/>
    <hyperlink ref="I7:J8" location="GrafEkon!A5" display="NAZAD"/>
  </hyperlinks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4:S32"/>
  <sheetViews>
    <sheetView workbookViewId="0">
      <selection activeCell="F15" sqref="F15:F16"/>
    </sheetView>
  </sheetViews>
  <sheetFormatPr defaultRowHeight="15" x14ac:dyDescent="0.25"/>
  <cols>
    <col min="1" max="1" width="14" customWidth="1"/>
    <col min="2" max="2" width="10.85546875" customWidth="1"/>
    <col min="4" max="4" width="11" customWidth="1"/>
    <col min="19" max="21" width="0" hidden="1" customWidth="1"/>
  </cols>
  <sheetData>
    <row r="4" spans="1:19" ht="16.5" x14ac:dyDescent="0.35">
      <c r="F4" s="57" t="s">
        <v>154</v>
      </c>
      <c r="G4" s="57"/>
      <c r="H4" s="57"/>
      <c r="I4" s="57"/>
    </row>
    <row r="7" spans="1:19" ht="21" x14ac:dyDescent="0.35">
      <c r="A7" s="65" t="s">
        <v>132</v>
      </c>
      <c r="B7" s="65"/>
      <c r="C7" s="65"/>
      <c r="D7" s="65"/>
    </row>
    <row r="8" spans="1:19" ht="15.75" thickBot="1" x14ac:dyDescent="0.3"/>
    <row r="9" spans="1:19" ht="15.75" thickBot="1" x14ac:dyDescent="0.3">
      <c r="B9" s="41" t="s">
        <v>187</v>
      </c>
      <c r="C9" s="42"/>
      <c r="D9" s="41" t="s">
        <v>188</v>
      </c>
      <c r="E9" s="42"/>
      <c r="S9" t="s">
        <v>186</v>
      </c>
    </row>
    <row r="10" spans="1:19" ht="15.75" thickBot="1" x14ac:dyDescent="0.3">
      <c r="B10" s="43" t="s">
        <v>180</v>
      </c>
      <c r="C10" s="43" t="s">
        <v>181</v>
      </c>
      <c r="D10" s="43" t="s">
        <v>180</v>
      </c>
      <c r="E10" s="43" t="s">
        <v>181</v>
      </c>
      <c r="S10" t="s">
        <v>189</v>
      </c>
    </row>
    <row r="11" spans="1:19" x14ac:dyDescent="0.25">
      <c r="S11" t="s">
        <v>190</v>
      </c>
    </row>
    <row r="12" spans="1:19" x14ac:dyDescent="0.25">
      <c r="A12" s="44" t="s">
        <v>182</v>
      </c>
      <c r="B12" s="46">
        <v>-74943.681932084102</v>
      </c>
      <c r="C12" s="45">
        <v>4.8842177336909653E-2</v>
      </c>
      <c r="D12" s="46">
        <v>-7794.6134705579298</v>
      </c>
      <c r="E12" s="7">
        <v>8.1421157431633029E-2</v>
      </c>
    </row>
    <row r="14" spans="1:19" x14ac:dyDescent="0.25">
      <c r="A14" s="44" t="s">
        <v>184</v>
      </c>
    </row>
    <row r="15" spans="1:19" x14ac:dyDescent="0.25">
      <c r="A15" s="19">
        <v>0.1</v>
      </c>
      <c r="B15" s="46">
        <v>-19287.692277329304</v>
      </c>
      <c r="C15" s="45">
        <v>7.5984309626121016E-2</v>
      </c>
      <c r="D15" s="46">
        <v>47861.376184196903</v>
      </c>
      <c r="E15" s="7">
        <v>0.1071811609068607</v>
      </c>
    </row>
    <row r="16" spans="1:19" x14ac:dyDescent="0.25">
      <c r="A16" s="19">
        <v>-0.1</v>
      </c>
      <c r="B16" s="46">
        <v>-130599.67158683907</v>
      </c>
      <c r="C16" s="45">
        <v>1.9740609521266217E-2</v>
      </c>
      <c r="D16" s="46">
        <v>-63450.603125312911</v>
      </c>
      <c r="E16" s="7">
        <v>5.4576654434686844E-2</v>
      </c>
    </row>
    <row r="17" spans="1:5" x14ac:dyDescent="0.25">
      <c r="A17" t="s">
        <v>183</v>
      </c>
      <c r="B17" s="45">
        <v>0.13469999999999999</v>
      </c>
      <c r="C17" s="45"/>
      <c r="D17" s="45">
        <v>1.4E-2</v>
      </c>
      <c r="E17" s="7"/>
    </row>
    <row r="19" spans="1:5" x14ac:dyDescent="0.25">
      <c r="A19" s="44" t="s">
        <v>85</v>
      </c>
    </row>
    <row r="20" spans="1:5" x14ac:dyDescent="0.25">
      <c r="A20" s="19">
        <v>0.1</v>
      </c>
      <c r="B20" s="46">
        <v>-94095.222501059921</v>
      </c>
      <c r="C20" s="45">
        <v>3.9100585176086167E-2</v>
      </c>
      <c r="D20" s="46">
        <v>-26946.154039533714</v>
      </c>
      <c r="E20" s="7">
        <v>7.2333873844257157E-2</v>
      </c>
    </row>
    <row r="21" spans="1:5" x14ac:dyDescent="0.25">
      <c r="A21" s="19">
        <v>-0.1</v>
      </c>
      <c r="B21" s="46">
        <v>-55792.141363108261</v>
      </c>
      <c r="C21" s="45">
        <v>5.8356397001796623E-2</v>
      </c>
      <c r="D21" s="46">
        <v>11356.927098417957</v>
      </c>
      <c r="E21" s="7">
        <v>9.0382122662382436E-2</v>
      </c>
    </row>
    <row r="22" spans="1:5" x14ac:dyDescent="0.25">
      <c r="A22" t="s">
        <v>183</v>
      </c>
      <c r="B22" s="45">
        <v>-0.39100000000000001</v>
      </c>
      <c r="C22" s="45"/>
      <c r="D22" s="45">
        <v>-4.07E-2</v>
      </c>
      <c r="E22" s="7"/>
    </row>
    <row r="23" spans="1:5" x14ac:dyDescent="0.25">
      <c r="B23" s="45"/>
      <c r="C23" s="45"/>
      <c r="D23" s="45"/>
      <c r="E23" s="7"/>
    </row>
    <row r="24" spans="1:5" x14ac:dyDescent="0.25">
      <c r="A24" s="44" t="s">
        <v>185</v>
      </c>
      <c r="B24" s="45"/>
      <c r="C24" s="45"/>
      <c r="D24" s="45"/>
      <c r="E24" s="7"/>
    </row>
    <row r="25" spans="1:5" x14ac:dyDescent="0.25">
      <c r="A25" s="19">
        <v>0.1</v>
      </c>
      <c r="B25" s="46">
        <v>-114405.41897123105</v>
      </c>
      <c r="C25" s="45">
        <v>3.5709374043221276E-2</v>
      </c>
      <c r="D25" s="46">
        <v>-48971.237247332523</v>
      </c>
      <c r="E25" s="7">
        <v>6.6464113713235795E-2</v>
      </c>
    </row>
    <row r="26" spans="1:5" x14ac:dyDescent="0.25">
      <c r="A26" s="19">
        <v>-0.1</v>
      </c>
      <c r="B26" s="46">
        <v>-33491.235188637787</v>
      </c>
      <c r="C26" s="45">
        <v>6.4099485927807676E-2</v>
      </c>
      <c r="D26" s="46">
        <v>35845.715336249305</v>
      </c>
      <c r="E26" s="7">
        <v>9.9038406694741843E-2</v>
      </c>
    </row>
    <row r="27" spans="1:5" x14ac:dyDescent="0.25">
      <c r="A27" t="s">
        <v>183</v>
      </c>
      <c r="B27" s="45">
        <v>-0.22950000000000001</v>
      </c>
      <c r="C27" s="45"/>
      <c r="D27" s="45">
        <v>-1.84E-2</v>
      </c>
      <c r="E27" s="7"/>
    </row>
    <row r="28" spans="1:5" hidden="1" x14ac:dyDescent="0.25"/>
    <row r="29" spans="1:5" hidden="1" x14ac:dyDescent="0.25">
      <c r="B29" s="46">
        <f>+FinaIndikatori!$E$46</f>
        <v>-74943.681932084102</v>
      </c>
      <c r="C29" s="45">
        <f>+FinaIndikatori!$E$47</f>
        <v>4.8842177336909653E-2</v>
      </c>
      <c r="D29" s="46">
        <f>+'FinInd+CO2'!$E$49</f>
        <v>75909.852500628971</v>
      </c>
      <c r="E29" s="7">
        <f>+'FinInd+CO2'!$E$50</f>
        <v>0.11989416647442463</v>
      </c>
    </row>
    <row r="31" spans="1:5" x14ac:dyDescent="0.25">
      <c r="A31" s="62" t="s">
        <v>139</v>
      </c>
      <c r="B31" s="62"/>
      <c r="D31" s="75" t="s">
        <v>140</v>
      </c>
      <c r="E31" s="75"/>
    </row>
    <row r="32" spans="1:5" x14ac:dyDescent="0.25">
      <c r="A32" s="62"/>
      <c r="B32" s="62"/>
      <c r="D32" s="75"/>
      <c r="E32" s="75"/>
    </row>
  </sheetData>
  <sheetProtection selectLockedCells="1"/>
  <mergeCells count="4">
    <mergeCell ref="F4:I4"/>
    <mergeCell ref="A31:B32"/>
    <mergeCell ref="D31:E32"/>
    <mergeCell ref="A7:D7"/>
  </mergeCells>
  <hyperlinks>
    <hyperlink ref="D31:E32" location="AkoESCO!A1" display="DALJE"/>
    <hyperlink ref="A31:B32" location="LCoEE!I1" display="NAZAD"/>
  </hyperlinks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3:AB17"/>
  <sheetViews>
    <sheetView zoomScaleNormal="100" workbookViewId="0">
      <selection activeCell="D22" sqref="D22"/>
    </sheetView>
  </sheetViews>
  <sheetFormatPr defaultRowHeight="15" x14ac:dyDescent="0.25"/>
  <cols>
    <col min="5" max="5" width="11.5703125" customWidth="1"/>
    <col min="6" max="6" width="10.7109375" customWidth="1"/>
    <col min="7" max="8" width="11.140625" customWidth="1"/>
    <col min="9" max="9" width="11" customWidth="1"/>
    <col min="10" max="10" width="10.7109375" customWidth="1"/>
    <col min="11" max="11" width="11.28515625" customWidth="1"/>
    <col min="12" max="12" width="11.140625" customWidth="1"/>
    <col min="13" max="13" width="11.28515625" customWidth="1"/>
    <col min="14" max="14" width="11.140625" customWidth="1"/>
    <col min="15" max="15" width="11" customWidth="1"/>
    <col min="16" max="17" width="11.140625" customWidth="1"/>
    <col min="18" max="18" width="11" customWidth="1"/>
    <col min="19" max="19" width="11.42578125" customWidth="1"/>
    <col min="20" max="20" width="10.7109375" customWidth="1"/>
    <col min="21" max="21" width="10.42578125" customWidth="1"/>
    <col min="22" max="22" width="11" customWidth="1"/>
    <col min="23" max="24" width="10.5703125" customWidth="1"/>
    <col min="25" max="25" width="11.140625" customWidth="1"/>
  </cols>
  <sheetData>
    <row r="3" spans="1:28" ht="16.5" x14ac:dyDescent="0.35">
      <c r="F3" s="57" t="s">
        <v>154</v>
      </c>
      <c r="G3" s="57"/>
      <c r="H3" s="57"/>
      <c r="I3" s="57"/>
    </row>
    <row r="7" spans="1:28" ht="18.75" customHeight="1" x14ac:dyDescent="0.25">
      <c r="A7" s="82" t="s">
        <v>137</v>
      </c>
      <c r="B7" s="82"/>
      <c r="C7" s="82"/>
      <c r="D7" s="82"/>
      <c r="I7" s="62" t="s">
        <v>139</v>
      </c>
      <c r="J7" s="62"/>
      <c r="N7" s="75" t="s">
        <v>140</v>
      </c>
      <c r="O7" s="75"/>
    </row>
    <row r="8" spans="1:28" x14ac:dyDescent="0.25">
      <c r="A8" s="82"/>
      <c r="B8" s="82"/>
      <c r="C8" s="82"/>
      <c r="D8" s="82"/>
      <c r="I8" s="62"/>
      <c r="J8" s="62"/>
      <c r="N8" s="75"/>
      <c r="O8" s="75"/>
    </row>
    <row r="10" spans="1:28" x14ac:dyDescent="0.25">
      <c r="A10" s="67" t="s">
        <v>119</v>
      </c>
      <c r="B10" s="67"/>
      <c r="C10" s="67"/>
      <c r="D10" s="67"/>
      <c r="E10" s="17"/>
      <c r="F10" s="17">
        <f>IF(E10&lt;UnosPodataka!$M$25,E10+1,"")</f>
        <v>1</v>
      </c>
      <c r="G10" s="17">
        <f>IF(F10&lt;UnosPodataka!$M$25,F10+1,"")</f>
        <v>2</v>
      </c>
      <c r="H10" s="17">
        <f>IF(G10&lt;UnosPodataka!$M$25,G10+1,"")</f>
        <v>3</v>
      </c>
      <c r="I10" s="17">
        <f>IF(H10&lt;UnosPodataka!$M$25,H10+1,"")</f>
        <v>4</v>
      </c>
      <c r="J10" s="17">
        <f>IF(I10&lt;UnosPodataka!$M$25,I10+1,"")</f>
        <v>5</v>
      </c>
      <c r="K10" s="17">
        <f>IF(J10&lt;UnosPodataka!$M$25,J10+1,"")</f>
        <v>6</v>
      </c>
      <c r="L10" s="17">
        <f>IF(K10&lt;UnosPodataka!$M$25,K10+1,"")</f>
        <v>7</v>
      </c>
      <c r="M10" s="17">
        <f>IF(L10&lt;UnosPodataka!$M$25,L10+1,"")</f>
        <v>8</v>
      </c>
      <c r="N10" s="17">
        <f>IF(M10&lt;UnosPodataka!$M$25,M10+1,"")</f>
        <v>9</v>
      </c>
      <c r="O10" s="17">
        <f>IF(N10&lt;UnosPodataka!$M$25,N10+1,"")</f>
        <v>10</v>
      </c>
      <c r="P10" s="17">
        <f>IF(O10&lt;UnosPodataka!$M$25,O10+1,"")</f>
        <v>11</v>
      </c>
      <c r="Q10" s="17">
        <f>IF(P10&lt;UnosPodataka!$M$25,P10+1,"")</f>
        <v>12</v>
      </c>
      <c r="R10" s="17">
        <f>IF(Q10&lt;UnosPodataka!$M$25,Q10+1,"")</f>
        <v>13</v>
      </c>
      <c r="S10" s="17">
        <f>IF(R10&lt;UnosPodataka!$M$25,R10+1,"")</f>
        <v>14</v>
      </c>
      <c r="T10" s="17">
        <f>IF(S10&lt;UnosPodataka!$M$25,S10+1,"")</f>
        <v>15</v>
      </c>
      <c r="U10" s="17">
        <f>IF(T10&lt;UnosPodataka!$M$25,T10+1,"")</f>
        <v>16</v>
      </c>
      <c r="V10" s="17">
        <f>IF(U10&lt;UnosPodataka!$M$25,U10+1,"")</f>
        <v>17</v>
      </c>
      <c r="W10" s="17">
        <f>IF(V10&lt;UnosPodataka!$M$25,V10+1,"")</f>
        <v>18</v>
      </c>
      <c r="X10" s="17">
        <f>IF(W10&lt;UnosPodataka!$M$25,W10+1,"")</f>
        <v>19</v>
      </c>
      <c r="Y10" s="17">
        <f>IF(X10&lt;UnosPodataka!$M$25,X10+1,"")</f>
        <v>20</v>
      </c>
      <c r="Z10" s="18"/>
      <c r="AA10" s="18"/>
      <c r="AB10" s="18"/>
    </row>
    <row r="12" spans="1:28" x14ac:dyDescent="0.25">
      <c r="A12" s="69" t="s">
        <v>146</v>
      </c>
      <c r="B12" s="69"/>
      <c r="C12" s="69"/>
      <c r="D12" s="69"/>
      <c r="E12" s="3">
        <v>0</v>
      </c>
      <c r="F12" s="3">
        <f>-FinaIndikatori!F30</f>
        <v>0</v>
      </c>
      <c r="G12" s="3">
        <f>-FinaIndikatori!G30</f>
        <v>0</v>
      </c>
      <c r="H12" s="3">
        <f>-FinaIndikatori!H30</f>
        <v>0</v>
      </c>
      <c r="I12" s="3">
        <f>-FinaIndikatori!I30</f>
        <v>0</v>
      </c>
      <c r="J12" s="3">
        <f>-FinaIndikatori!J30</f>
        <v>0</v>
      </c>
      <c r="K12" s="3">
        <f>-FinaIndikatori!K30</f>
        <v>0</v>
      </c>
      <c r="L12" s="3">
        <f>-FinaIndikatori!L30</f>
        <v>0</v>
      </c>
      <c r="M12" s="3">
        <f>-FinaIndikatori!M30</f>
        <v>0</v>
      </c>
      <c r="N12" s="3">
        <f>-FinaIndikatori!N30</f>
        <v>0</v>
      </c>
      <c r="O12" s="3">
        <f>-FinaIndikatori!O30</f>
        <v>0</v>
      </c>
      <c r="P12" s="3">
        <f>-FinaIndikatori!P30</f>
        <v>0</v>
      </c>
      <c r="Q12" s="3">
        <f>-FinaIndikatori!Q30</f>
        <v>0</v>
      </c>
      <c r="R12" s="3">
        <f>-FinaIndikatori!R30</f>
        <v>0</v>
      </c>
      <c r="S12" s="3">
        <f>-FinaIndikatori!S30</f>
        <v>0</v>
      </c>
      <c r="T12" s="3">
        <f>-FinaIndikatori!T30</f>
        <v>0</v>
      </c>
      <c r="U12" s="3">
        <f>-FinaIndikatori!U30</f>
        <v>0</v>
      </c>
      <c r="V12" s="3">
        <f>-FinaIndikatori!V30</f>
        <v>0</v>
      </c>
      <c r="W12" s="3">
        <f>-FinaIndikatori!W30</f>
        <v>0</v>
      </c>
      <c r="X12" s="3">
        <f>-FinaIndikatori!X30</f>
        <v>0</v>
      </c>
      <c r="Y12" s="3">
        <f>-FinaIndikatori!Y30</f>
        <v>0</v>
      </c>
    </row>
    <row r="13" spans="1:28" x14ac:dyDescent="0.25">
      <c r="A13" s="69" t="s">
        <v>147</v>
      </c>
      <c r="B13" s="69"/>
      <c r="C13" s="69"/>
      <c r="D13" s="69"/>
      <c r="E13" s="28">
        <v>0</v>
      </c>
      <c r="F13" s="28">
        <f>IF(F10&lt;&gt;"",F12*(1+UnosPodataka!$M$19)^(-F10),"")</f>
        <v>0</v>
      </c>
      <c r="G13" s="28">
        <f>IF(G10&lt;&gt;"",G12*(1+UnosPodataka!$M$19)^(-G10),"")</f>
        <v>0</v>
      </c>
      <c r="H13" s="28">
        <f>IF(H10&lt;&gt;"",H12*(1+UnosPodataka!$M$19)^(-H10),"")</f>
        <v>0</v>
      </c>
      <c r="I13" s="28">
        <f>IF(I10&lt;&gt;"",I12*(1+UnosPodataka!$M$19)^(-I10),"")</f>
        <v>0</v>
      </c>
      <c r="J13" s="28">
        <f>IF(J10&lt;&gt;"",J12*(1+UnosPodataka!$M$19)^(-J10),"")</f>
        <v>0</v>
      </c>
      <c r="K13" s="28">
        <f>IF(K10&lt;&gt;"",K12*(1+UnosPodataka!$M$19)^(-K10),"")</f>
        <v>0</v>
      </c>
      <c r="L13" s="28">
        <f>IF(L10&lt;&gt;"",L12*(1+UnosPodataka!$M$19)^(-L10),"")</f>
        <v>0</v>
      </c>
      <c r="M13" s="28">
        <f>IF(M10&lt;&gt;"",M12*(1+UnosPodataka!$M$19)^(-M10),"")</f>
        <v>0</v>
      </c>
      <c r="N13" s="28">
        <f>IF(N10&lt;&gt;"",N12*(1+UnosPodataka!$M$19)^(-N10),"")</f>
        <v>0</v>
      </c>
      <c r="O13" s="28">
        <f>IF(O10&lt;&gt;"",O12*(1+UnosPodataka!$M$19)^(-O10),"")</f>
        <v>0</v>
      </c>
      <c r="P13" s="28">
        <f>IF(P10&lt;&gt;"",P12*(1+UnosPodataka!$M$19)^(-P10),"")</f>
        <v>0</v>
      </c>
      <c r="Q13" s="28">
        <f>IF(Q10&lt;&gt;"",Q12*(1+UnosPodataka!$M$19)^(-Q10),"")</f>
        <v>0</v>
      </c>
      <c r="R13" s="28">
        <f>IF(R10&lt;&gt;"",R12*(1+UnosPodataka!$M$19)^(-R10),"")</f>
        <v>0</v>
      </c>
      <c r="S13" s="28">
        <f>IF(S10&lt;&gt;"",S12*(1+UnosPodataka!$M$19)^(-S10),"")</f>
        <v>0</v>
      </c>
      <c r="T13" s="28">
        <f>IF(T10&lt;&gt;"",T12*(1+UnosPodataka!$M$19)^(-T10),"")</f>
        <v>0</v>
      </c>
      <c r="U13" s="28">
        <f>IF(U10&lt;&gt;"",U12*(1+UnosPodataka!$M$19)^(-U10),"")</f>
        <v>0</v>
      </c>
      <c r="V13" s="28">
        <f>IF(V10&lt;&gt;"",V12*(1+UnosPodataka!$M$19)^(-V10),"")</f>
        <v>0</v>
      </c>
      <c r="W13" s="28">
        <f>IF(W10&lt;&gt;"",W12*(1+UnosPodataka!$M$19)^(-W10),"")</f>
        <v>0</v>
      </c>
      <c r="X13" s="28">
        <f>IF(X10&lt;&gt;"",X12*(1+UnosPodataka!$M$19)^(-X10),"")</f>
        <v>0</v>
      </c>
      <c r="Y13" s="28">
        <f>IF(Y10&lt;&gt;"",Y12*(1+UnosPodataka!$M$19)^(-Y10),"")</f>
        <v>0</v>
      </c>
    </row>
    <row r="15" spans="1:28" x14ac:dyDescent="0.25">
      <c r="A15" s="67" t="s">
        <v>25</v>
      </c>
      <c r="B15" s="67"/>
      <c r="C15" s="67"/>
      <c r="D15" s="67"/>
      <c r="E15" s="3">
        <f>NPV(UnosPodataka!$M$19,AkoESCO!E12:Y12)</f>
        <v>0</v>
      </c>
    </row>
    <row r="16" spans="1:28" x14ac:dyDescent="0.25">
      <c r="A16" s="67" t="s">
        <v>26</v>
      </c>
      <c r="B16" s="67"/>
      <c r="C16" s="67"/>
      <c r="D16" s="67"/>
      <c r="E16" s="22" t="s">
        <v>138</v>
      </c>
    </row>
    <row r="17" spans="5:5" x14ac:dyDescent="0.25">
      <c r="E17" s="6"/>
    </row>
  </sheetData>
  <sheetProtection selectLockedCells="1"/>
  <mergeCells count="9">
    <mergeCell ref="F3:I3"/>
    <mergeCell ref="I7:J8"/>
    <mergeCell ref="N7:O8"/>
    <mergeCell ref="A15:D15"/>
    <mergeCell ref="A16:D16"/>
    <mergeCell ref="A7:D8"/>
    <mergeCell ref="A10:D10"/>
    <mergeCell ref="A12:D12"/>
    <mergeCell ref="A13:D13"/>
  </mergeCells>
  <hyperlinks>
    <hyperlink ref="I7:J8" location="SALCoEE!A10" display="NAZAD"/>
    <hyperlink ref="N7:O8" location="ESCOGrafFina!A1" display="DALJE"/>
  </hyperlink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4:I12"/>
  <sheetViews>
    <sheetView workbookViewId="0">
      <selection activeCell="N3" sqref="N3"/>
    </sheetView>
  </sheetViews>
  <sheetFormatPr defaultRowHeight="15" x14ac:dyDescent="0.25"/>
  <sheetData>
    <row r="4" spans="1:9" ht="16.5" x14ac:dyDescent="0.35">
      <c r="F4" s="57" t="s">
        <v>154</v>
      </c>
      <c r="G4" s="57"/>
      <c r="H4" s="57"/>
      <c r="I4" s="57"/>
    </row>
    <row r="7" spans="1:9" ht="15" customHeight="1" x14ac:dyDescent="0.25">
      <c r="A7" s="59" t="s">
        <v>126</v>
      </c>
      <c r="B7" s="59"/>
      <c r="C7" s="59"/>
      <c r="D7" s="59"/>
    </row>
    <row r="8" spans="1:9" ht="15" customHeight="1" x14ac:dyDescent="0.25">
      <c r="A8" s="59"/>
      <c r="B8" s="59"/>
      <c r="C8" s="59"/>
      <c r="D8" s="59"/>
    </row>
    <row r="9" spans="1:9" x14ac:dyDescent="0.25">
      <c r="A9" s="59"/>
      <c r="B9" s="59"/>
      <c r="C9" s="59"/>
      <c r="D9" s="59"/>
    </row>
    <row r="11" spans="1:9" x14ac:dyDescent="0.25">
      <c r="A11" s="62" t="s">
        <v>139</v>
      </c>
      <c r="B11" s="62"/>
      <c r="D11" s="75" t="s">
        <v>140</v>
      </c>
      <c r="E11" s="75"/>
    </row>
    <row r="12" spans="1:9" x14ac:dyDescent="0.25">
      <c r="A12" s="62"/>
      <c r="B12" s="62"/>
      <c r="D12" s="75"/>
      <c r="E12" s="75"/>
    </row>
  </sheetData>
  <sheetProtection selectLockedCells="1" selectUnlockedCells="1"/>
  <mergeCells count="4">
    <mergeCell ref="A7:D9"/>
    <mergeCell ref="A11:B12"/>
    <mergeCell ref="D11:E12"/>
    <mergeCell ref="F4:I4"/>
  </mergeCells>
  <hyperlinks>
    <hyperlink ref="A11:B12" location="AkoESCO!I1" display="NAZAD"/>
    <hyperlink ref="D11:E12" location="REZIME!A1" display="DALJE"/>
  </hyperlink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3:I21"/>
  <sheetViews>
    <sheetView tabSelected="1" workbookViewId="0">
      <selection activeCell="T25" sqref="T25"/>
    </sheetView>
  </sheetViews>
  <sheetFormatPr defaultRowHeight="15" x14ac:dyDescent="0.25"/>
  <sheetData>
    <row r="3" spans="1:9" ht="16.5" x14ac:dyDescent="0.35">
      <c r="F3" s="57" t="s">
        <v>154</v>
      </c>
      <c r="G3" s="57"/>
      <c r="H3" s="57"/>
      <c r="I3" s="57"/>
    </row>
    <row r="7" spans="1:9" x14ac:dyDescent="0.25">
      <c r="A7" s="59" t="s">
        <v>142</v>
      </c>
      <c r="B7" s="59"/>
      <c r="C7" s="59"/>
      <c r="D7" s="59"/>
    </row>
    <row r="8" spans="1:9" x14ac:dyDescent="0.25">
      <c r="A8" s="59"/>
      <c r="B8" s="59"/>
      <c r="C8" s="59"/>
      <c r="D8" s="59"/>
    </row>
    <row r="9" spans="1:9" x14ac:dyDescent="0.25">
      <c r="B9" s="67" t="s">
        <v>52</v>
      </c>
      <c r="C9" s="67"/>
      <c r="D9" s="67"/>
      <c r="E9" s="70" t="str">
        <f>PROJEKAT</f>
        <v>Kotao na drvnu sečku</v>
      </c>
      <c r="F9" s="70"/>
      <c r="G9" s="70"/>
      <c r="H9" s="70"/>
      <c r="I9" s="70"/>
    </row>
    <row r="10" spans="1:9" x14ac:dyDescent="0.25">
      <c r="B10" s="67" t="s">
        <v>143</v>
      </c>
      <c r="C10" s="67"/>
      <c r="D10" s="67"/>
      <c r="E10" s="84">
        <f>Investment</f>
        <v>243000</v>
      </c>
      <c r="F10" s="84"/>
      <c r="G10" s="84"/>
      <c r="H10" s="84"/>
      <c r="I10" s="84"/>
    </row>
    <row r="11" spans="1:9" x14ac:dyDescent="0.25">
      <c r="B11" s="67" t="s">
        <v>144</v>
      </c>
      <c r="C11" s="67"/>
      <c r="D11" s="67"/>
      <c r="E11" s="84">
        <f>Investment-Equity-Loan</f>
        <v>45000</v>
      </c>
      <c r="F11" s="70"/>
      <c r="G11" s="70"/>
      <c r="H11" s="70"/>
      <c r="I11" s="70"/>
    </row>
    <row r="12" spans="1:9" x14ac:dyDescent="0.25">
      <c r="B12" s="67" t="s">
        <v>103</v>
      </c>
      <c r="C12" s="67"/>
      <c r="D12" s="67"/>
      <c r="E12" s="84">
        <f>Equity</f>
        <v>50000</v>
      </c>
      <c r="F12" s="84"/>
      <c r="G12" s="84"/>
      <c r="H12" s="84"/>
      <c r="I12" s="84"/>
    </row>
    <row r="13" spans="1:9" x14ac:dyDescent="0.25">
      <c r="B13" s="67" t="s">
        <v>102</v>
      </c>
      <c r="C13" s="67"/>
      <c r="D13" s="67"/>
      <c r="E13" s="84">
        <f>Loan</f>
        <v>148000</v>
      </c>
      <c r="F13" s="84"/>
      <c r="G13" s="84"/>
      <c r="H13" s="84"/>
      <c r="I13" s="84"/>
    </row>
    <row r="14" spans="1:9" x14ac:dyDescent="0.25">
      <c r="B14" s="67" t="s">
        <v>145</v>
      </c>
      <c r="C14" s="67"/>
      <c r="D14" s="67"/>
      <c r="E14" s="84">
        <f>LCoE</f>
        <v>75.419875881630205</v>
      </c>
      <c r="F14" s="84"/>
      <c r="G14" s="84"/>
      <c r="H14" s="84"/>
      <c r="I14" s="84"/>
    </row>
    <row r="15" spans="1:9" x14ac:dyDescent="0.25">
      <c r="B15" s="67" t="s">
        <v>25</v>
      </c>
      <c r="C15" s="67"/>
      <c r="D15" s="67"/>
      <c r="E15" s="84">
        <f>+FinaIndikatori!E46</f>
        <v>-74943.681932084102</v>
      </c>
      <c r="F15" s="84"/>
      <c r="G15" s="84"/>
      <c r="H15" s="84"/>
      <c r="I15" s="84"/>
    </row>
    <row r="16" spans="1:9" x14ac:dyDescent="0.25">
      <c r="B16" s="67" t="s">
        <v>26</v>
      </c>
      <c r="C16" s="67"/>
      <c r="D16" s="67"/>
      <c r="E16" s="85">
        <f>+FinaIndikatori!E47</f>
        <v>4.8842177336909653E-2</v>
      </c>
      <c r="F16" s="85"/>
      <c r="G16" s="85"/>
      <c r="H16" s="85"/>
      <c r="I16" s="85"/>
    </row>
    <row r="17" spans="2:9" ht="18" x14ac:dyDescent="0.35">
      <c r="B17" s="67" t="s">
        <v>214</v>
      </c>
      <c r="C17" s="67"/>
      <c r="D17" s="67"/>
      <c r="E17" s="84">
        <f>+'FinInd+CO2'!E49</f>
        <v>75909.852500628971</v>
      </c>
      <c r="F17" s="70"/>
      <c r="G17" s="70"/>
      <c r="H17" s="70"/>
      <c r="I17" s="70"/>
    </row>
    <row r="18" spans="2:9" ht="18" x14ac:dyDescent="0.35">
      <c r="B18" s="67" t="s">
        <v>215</v>
      </c>
      <c r="C18" s="67"/>
      <c r="D18" s="67"/>
      <c r="E18" s="83">
        <f>+'FinInd+CO2'!E50</f>
        <v>0.11989416647442463</v>
      </c>
      <c r="F18" s="83"/>
      <c r="G18" s="83"/>
      <c r="H18" s="83"/>
      <c r="I18" s="83"/>
    </row>
    <row r="20" spans="2:9" x14ac:dyDescent="0.25">
      <c r="B20" s="62" t="s">
        <v>139</v>
      </c>
      <c r="C20" s="62"/>
    </row>
    <row r="21" spans="2:9" x14ac:dyDescent="0.25">
      <c r="B21" s="62"/>
      <c r="C21" s="62"/>
    </row>
  </sheetData>
  <mergeCells count="23">
    <mergeCell ref="F3:I3"/>
    <mergeCell ref="B20:C21"/>
    <mergeCell ref="A7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E15:I15"/>
    <mergeCell ref="E16:I16"/>
    <mergeCell ref="E17:I17"/>
    <mergeCell ref="E18:I18"/>
    <mergeCell ref="E9:I9"/>
    <mergeCell ref="E10:I10"/>
    <mergeCell ref="E11:I11"/>
    <mergeCell ref="E12:I12"/>
    <mergeCell ref="E13:I13"/>
    <mergeCell ref="E14:I14"/>
  </mergeCells>
  <hyperlinks>
    <hyperlink ref="B20:C21" location="ESCOGrafFina!A5" display="NAZAD"/>
  </hyperlink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7:D26"/>
  <sheetViews>
    <sheetView zoomScaleNormal="100" workbookViewId="0">
      <selection activeCell="D26" sqref="D26"/>
    </sheetView>
  </sheetViews>
  <sheetFormatPr defaultRowHeight="15" x14ac:dyDescent="0.25"/>
  <cols>
    <col min="3" max="3" width="29" customWidth="1"/>
  </cols>
  <sheetData>
    <row r="7" spans="3:4" ht="21" x14ac:dyDescent="0.35">
      <c r="C7" s="53" t="s">
        <v>203</v>
      </c>
    </row>
    <row r="8" spans="3:4" ht="18" x14ac:dyDescent="0.35">
      <c r="D8" s="47" t="s">
        <v>204</v>
      </c>
    </row>
    <row r="9" spans="3:4" x14ac:dyDescent="0.25">
      <c r="C9" t="s">
        <v>20</v>
      </c>
      <c r="D9" s="8">
        <v>0.4</v>
      </c>
    </row>
    <row r="10" spans="3:4" x14ac:dyDescent="0.25">
      <c r="C10" t="s">
        <v>19</v>
      </c>
      <c r="D10" s="8">
        <v>0.33</v>
      </c>
    </row>
    <row r="11" spans="3:4" x14ac:dyDescent="0.25">
      <c r="C11" t="s">
        <v>205</v>
      </c>
      <c r="D11" s="8">
        <v>0.34</v>
      </c>
    </row>
    <row r="12" spans="3:4" x14ac:dyDescent="0.25">
      <c r="C12" t="s">
        <v>206</v>
      </c>
      <c r="D12" s="8">
        <v>0.27</v>
      </c>
    </row>
    <row r="13" spans="3:4" x14ac:dyDescent="0.25">
      <c r="C13" t="s">
        <v>16</v>
      </c>
      <c r="D13" s="8">
        <v>0.28000000000000003</v>
      </c>
    </row>
    <row r="14" spans="3:4" x14ac:dyDescent="0.25">
      <c r="C14" t="s">
        <v>13</v>
      </c>
      <c r="D14" s="8">
        <v>0.2</v>
      </c>
    </row>
    <row r="15" spans="3:4" x14ac:dyDescent="0.25">
      <c r="C15" t="s">
        <v>207</v>
      </c>
      <c r="D15" s="8">
        <v>0.22</v>
      </c>
    </row>
    <row r="16" spans="3:4" x14ac:dyDescent="0.25">
      <c r="C16" t="s">
        <v>208</v>
      </c>
      <c r="D16" s="8">
        <v>0.49399999999999999</v>
      </c>
    </row>
    <row r="17" spans="3:4" x14ac:dyDescent="0.25">
      <c r="C17" t="s">
        <v>209</v>
      </c>
      <c r="D17" s="8">
        <v>4.9000000000000002E-2</v>
      </c>
    </row>
    <row r="18" spans="3:4" x14ac:dyDescent="0.25">
      <c r="C18" t="s">
        <v>210</v>
      </c>
      <c r="D18" s="8">
        <v>0.04</v>
      </c>
    </row>
    <row r="19" spans="3:4" x14ac:dyDescent="0.25">
      <c r="C19" t="s">
        <v>211</v>
      </c>
      <c r="D19" s="8">
        <v>0.28999999999999998</v>
      </c>
    </row>
    <row r="20" spans="3:4" x14ac:dyDescent="0.25">
      <c r="C20" t="s">
        <v>17</v>
      </c>
      <c r="D20" s="8">
        <v>0.8</v>
      </c>
    </row>
    <row r="21" spans="3:4" x14ac:dyDescent="0.25">
      <c r="C21" t="s">
        <v>212</v>
      </c>
      <c r="D21" s="8">
        <v>0</v>
      </c>
    </row>
    <row r="22" spans="3:4" x14ac:dyDescent="0.25">
      <c r="C22" t="s">
        <v>200</v>
      </c>
    </row>
    <row r="23" spans="3:4" x14ac:dyDescent="0.25">
      <c r="C23" t="s">
        <v>213</v>
      </c>
      <c r="D23" s="8">
        <v>0.22</v>
      </c>
    </row>
    <row r="25" spans="3:4" x14ac:dyDescent="0.25">
      <c r="C25" t="s">
        <v>220</v>
      </c>
      <c r="D25">
        <f>SUM(HEAT*(Gorivo!D17-KonvFaktor!$E$21))</f>
        <v>-208.96710473380719</v>
      </c>
    </row>
    <row r="26" spans="3:4" x14ac:dyDescent="0.25">
      <c r="C26" t="s">
        <v>219</v>
      </c>
      <c r="D26">
        <f>SUM(HEAT*(Gorivo!D16-KonvFaktor!$E$21))</f>
        <v>280.53289526619284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G21"/>
  <sheetViews>
    <sheetView zoomScaleNormal="100" workbookViewId="0">
      <selection activeCell="D12" sqref="D12"/>
    </sheetView>
  </sheetViews>
  <sheetFormatPr defaultRowHeight="15" x14ac:dyDescent="0.25"/>
  <cols>
    <col min="2" max="2" width="21.42578125" customWidth="1"/>
    <col min="3" max="3" width="13" customWidth="1"/>
  </cols>
  <sheetData>
    <row r="3" spans="2:7" ht="16.5" x14ac:dyDescent="0.35">
      <c r="D3" s="57"/>
      <c r="E3" s="57"/>
      <c r="F3" s="57"/>
      <c r="G3" s="57"/>
    </row>
    <row r="7" spans="2:7" ht="21" x14ac:dyDescent="0.35">
      <c r="B7" s="65" t="s">
        <v>193</v>
      </c>
      <c r="C7" s="65"/>
      <c r="D7" s="65"/>
      <c r="E7" s="65"/>
      <c r="F7" s="65"/>
      <c r="G7" s="65"/>
    </row>
    <row r="8" spans="2:7" x14ac:dyDescent="0.25">
      <c r="B8" s="56"/>
      <c r="C8" s="56"/>
      <c r="D8" s="56"/>
      <c r="E8" s="56"/>
      <c r="F8" s="56"/>
      <c r="G8" s="56"/>
    </row>
    <row r="9" spans="2:7" ht="15" customHeight="1" x14ac:dyDescent="0.25">
      <c r="B9" s="66" t="s">
        <v>194</v>
      </c>
      <c r="C9" s="66" t="s">
        <v>195</v>
      </c>
      <c r="D9" s="66" t="s">
        <v>196</v>
      </c>
      <c r="E9" s="66" t="s">
        <v>197</v>
      </c>
    </row>
    <row r="10" spans="2:7" x14ac:dyDescent="0.25">
      <c r="B10" s="66"/>
      <c r="C10" s="66"/>
      <c r="D10" s="66"/>
      <c r="E10" s="66"/>
    </row>
    <row r="11" spans="2:7" ht="18" x14ac:dyDescent="0.35">
      <c r="B11" s="20"/>
      <c r="C11" s="55" t="s">
        <v>23</v>
      </c>
      <c r="D11" s="55" t="s">
        <v>198</v>
      </c>
      <c r="E11" s="55" t="s">
        <v>199</v>
      </c>
    </row>
    <row r="12" spans="2:7" x14ac:dyDescent="0.25">
      <c r="B12" s="48" t="s">
        <v>19</v>
      </c>
      <c r="C12" s="49">
        <v>54000</v>
      </c>
      <c r="D12" s="50">
        <f>VLOOKUP(B12,Gorivo!$C$9:$D$23,2,FALSE)</f>
        <v>0.33</v>
      </c>
      <c r="E12" s="51">
        <f t="shared" ref="E12:E17" si="0">IF(B12&lt;&gt;"Gorivo",C12*D12,"")</f>
        <v>17820</v>
      </c>
    </row>
    <row r="13" spans="2:7" x14ac:dyDescent="0.25">
      <c r="B13" s="48" t="s">
        <v>200</v>
      </c>
      <c r="C13" s="49">
        <v>6000</v>
      </c>
      <c r="D13" s="50">
        <f>VLOOKUP(B13,Gorivo!$C$9:$D$23,2,FALSE)</f>
        <v>0</v>
      </c>
      <c r="E13" s="51" t="str">
        <f t="shared" si="0"/>
        <v/>
      </c>
    </row>
    <row r="14" spans="2:7" x14ac:dyDescent="0.25">
      <c r="B14" s="48" t="s">
        <v>200</v>
      </c>
      <c r="C14" s="49">
        <v>1000</v>
      </c>
      <c r="D14" s="50">
        <f>VLOOKUP(B14,Gorivo!$C$9:$D$23,2,FALSE)</f>
        <v>0</v>
      </c>
      <c r="E14" s="51" t="str">
        <f t="shared" si="0"/>
        <v/>
      </c>
    </row>
    <row r="15" spans="2:7" x14ac:dyDescent="0.25">
      <c r="B15" s="48" t="s">
        <v>200</v>
      </c>
      <c r="C15" s="49">
        <v>3400</v>
      </c>
      <c r="D15" s="50">
        <f>VLOOKUP(B15,Gorivo!$C$9:$D$23,2,FALSE)</f>
        <v>0</v>
      </c>
      <c r="E15" s="51" t="str">
        <f t="shared" si="0"/>
        <v/>
      </c>
    </row>
    <row r="16" spans="2:7" x14ac:dyDescent="0.25">
      <c r="B16" s="48" t="s">
        <v>200</v>
      </c>
      <c r="C16" s="49">
        <v>4500</v>
      </c>
      <c r="D16" s="50">
        <f>VLOOKUP(B16,Gorivo!$C$9:$D$23,2,FALSE)</f>
        <v>0</v>
      </c>
      <c r="E16" s="51" t="str">
        <f t="shared" si="0"/>
        <v/>
      </c>
    </row>
    <row r="17" spans="2:5" x14ac:dyDescent="0.25">
      <c r="B17" s="48" t="s">
        <v>200</v>
      </c>
      <c r="C17" s="49">
        <v>5670</v>
      </c>
      <c r="D17" s="50">
        <f>VLOOKUP(B17,Gorivo!$C$9:$D$23,2,FALSE)</f>
        <v>0</v>
      </c>
      <c r="E17" s="51" t="str">
        <f t="shared" si="0"/>
        <v/>
      </c>
    </row>
    <row r="18" spans="2:5" x14ac:dyDescent="0.25">
      <c r="B18" s="20" t="s">
        <v>79</v>
      </c>
      <c r="C18" s="51">
        <f>SUM(C12:C17)</f>
        <v>74570</v>
      </c>
      <c r="D18" s="50"/>
      <c r="E18" s="51">
        <f>SUM(E12:E17)</f>
        <v>17820</v>
      </c>
    </row>
    <row r="20" spans="2:5" ht="18" customHeight="1" x14ac:dyDescent="0.35">
      <c r="B20" s="64" t="s">
        <v>201</v>
      </c>
      <c r="C20" s="64"/>
      <c r="D20" s="64"/>
      <c r="E20" s="55" t="s">
        <v>202</v>
      </c>
    </row>
    <row r="21" spans="2:5" x14ac:dyDescent="0.25">
      <c r="B21" s="64"/>
      <c r="C21" s="64"/>
      <c r="D21" s="64"/>
      <c r="E21" s="52">
        <f>E18/C18</f>
        <v>0.23897009521255197</v>
      </c>
    </row>
  </sheetData>
  <mergeCells count="7">
    <mergeCell ref="B20:D21"/>
    <mergeCell ref="D3:G3"/>
    <mergeCell ref="B7:G7"/>
    <mergeCell ref="B9:B10"/>
    <mergeCell ref="C9:C10"/>
    <mergeCell ref="D9:D10"/>
    <mergeCell ref="E9:E10"/>
  </mergeCell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Gorivo!$C$9:$C$23</xm:f>
          </x14:formula1>
          <xm:sqref>B12:B17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B3:Q40"/>
  <sheetViews>
    <sheetView topLeftCell="A8" zoomScaleNormal="100" workbookViewId="0">
      <selection activeCell="T36" sqref="T36"/>
    </sheetView>
  </sheetViews>
  <sheetFormatPr defaultRowHeight="15" x14ac:dyDescent="0.25"/>
  <cols>
    <col min="3" max="3" width="36.42578125" customWidth="1"/>
    <col min="8" max="8" width="10.28515625" customWidth="1"/>
    <col min="11" max="11" width="10.140625" bestFit="1" customWidth="1"/>
    <col min="14" max="14" width="10.140625" customWidth="1"/>
  </cols>
  <sheetData>
    <row r="3" spans="2:15" ht="16.5" x14ac:dyDescent="0.35">
      <c r="D3" s="57" t="s">
        <v>154</v>
      </c>
      <c r="E3" s="57"/>
      <c r="F3" s="57"/>
      <c r="G3" s="57"/>
    </row>
    <row r="7" spans="2:15" ht="15" customHeight="1" x14ac:dyDescent="0.25">
      <c r="B7" s="17" t="s">
        <v>52</v>
      </c>
      <c r="C7" t="s">
        <v>50</v>
      </c>
      <c r="F7">
        <v>1</v>
      </c>
      <c r="H7" s="20" t="s">
        <v>10</v>
      </c>
      <c r="I7" t="s">
        <v>53</v>
      </c>
      <c r="N7" s="20" t="s">
        <v>3</v>
      </c>
      <c r="O7" t="s">
        <v>4</v>
      </c>
    </row>
    <row r="8" spans="2:15" x14ac:dyDescent="0.25">
      <c r="C8" t="s">
        <v>133</v>
      </c>
      <c r="F8">
        <v>2</v>
      </c>
      <c r="I8" t="s">
        <v>54</v>
      </c>
      <c r="O8" t="s">
        <v>5</v>
      </c>
    </row>
    <row r="9" spans="2:15" x14ac:dyDescent="0.25">
      <c r="C9" t="s">
        <v>51</v>
      </c>
      <c r="F9">
        <v>3</v>
      </c>
      <c r="I9" t="s">
        <v>57</v>
      </c>
      <c r="O9" t="s">
        <v>6</v>
      </c>
    </row>
    <row r="10" spans="2:15" x14ac:dyDescent="0.25">
      <c r="C10" t="s">
        <v>36</v>
      </c>
      <c r="F10">
        <v>4</v>
      </c>
      <c r="I10" t="s">
        <v>55</v>
      </c>
      <c r="O10" t="s">
        <v>7</v>
      </c>
    </row>
    <row r="11" spans="2:15" x14ac:dyDescent="0.25">
      <c r="C11" t="s">
        <v>37</v>
      </c>
      <c r="F11">
        <v>5</v>
      </c>
      <c r="I11" t="s">
        <v>58</v>
      </c>
      <c r="O11" t="s">
        <v>8</v>
      </c>
    </row>
    <row r="12" spans="2:15" x14ac:dyDescent="0.25">
      <c r="C12" t="s">
        <v>38</v>
      </c>
      <c r="F12">
        <v>6</v>
      </c>
      <c r="I12" t="s">
        <v>56</v>
      </c>
      <c r="O12" t="s">
        <v>31</v>
      </c>
    </row>
    <row r="13" spans="2:15" x14ac:dyDescent="0.25">
      <c r="C13" t="s">
        <v>39</v>
      </c>
      <c r="F13">
        <v>7</v>
      </c>
      <c r="I13" t="s">
        <v>59</v>
      </c>
    </row>
    <row r="14" spans="2:15" x14ac:dyDescent="0.25">
      <c r="C14" t="s">
        <v>40</v>
      </c>
      <c r="F14">
        <v>8</v>
      </c>
      <c r="I14" t="s">
        <v>60</v>
      </c>
    </row>
    <row r="15" spans="2:15" x14ac:dyDescent="0.25">
      <c r="C15" t="s">
        <v>41</v>
      </c>
      <c r="F15">
        <v>9</v>
      </c>
      <c r="H15" s="12"/>
      <c r="I15" t="s">
        <v>61</v>
      </c>
      <c r="N15" s="20" t="s">
        <v>9</v>
      </c>
      <c r="O15" t="s">
        <v>63</v>
      </c>
    </row>
    <row r="16" spans="2:15" x14ac:dyDescent="0.25">
      <c r="C16" t="s">
        <v>42</v>
      </c>
      <c r="F16">
        <v>10</v>
      </c>
      <c r="H16" s="12"/>
      <c r="I16" t="s">
        <v>11</v>
      </c>
      <c r="O16" t="s">
        <v>64</v>
      </c>
    </row>
    <row r="17" spans="3:17" x14ac:dyDescent="0.25">
      <c r="C17" t="s">
        <v>43</v>
      </c>
      <c r="F17">
        <v>11</v>
      </c>
      <c r="I17" t="s">
        <v>62</v>
      </c>
      <c r="O17" t="s">
        <v>65</v>
      </c>
    </row>
    <row r="18" spans="3:17" x14ac:dyDescent="0.25">
      <c r="C18" t="s">
        <v>46</v>
      </c>
      <c r="F18">
        <v>12</v>
      </c>
      <c r="I18" t="s">
        <v>134</v>
      </c>
      <c r="O18" t="s">
        <v>66</v>
      </c>
    </row>
    <row r="19" spans="3:17" ht="18" x14ac:dyDescent="0.35">
      <c r="C19" t="s">
        <v>47</v>
      </c>
      <c r="F19">
        <v>13</v>
      </c>
      <c r="O19" t="s">
        <v>67</v>
      </c>
    </row>
    <row r="20" spans="3:17" x14ac:dyDescent="0.25">
      <c r="C20" t="s">
        <v>44</v>
      </c>
      <c r="F20">
        <v>14</v>
      </c>
    </row>
    <row r="21" spans="3:17" ht="18" x14ac:dyDescent="0.35">
      <c r="C21" t="s">
        <v>45</v>
      </c>
      <c r="F21">
        <v>15</v>
      </c>
      <c r="H21" s="67" t="s">
        <v>150</v>
      </c>
      <c r="I21" s="67"/>
      <c r="J21" s="67"/>
      <c r="N21" s="20" t="s">
        <v>11</v>
      </c>
      <c r="O21" t="s">
        <v>68</v>
      </c>
    </row>
    <row r="22" spans="3:17" x14ac:dyDescent="0.25">
      <c r="C22" t="s">
        <v>48</v>
      </c>
      <c r="F22">
        <v>16</v>
      </c>
      <c r="I22" t="s">
        <v>151</v>
      </c>
      <c r="K22" s="3">
        <f>+UnosPodataka!F22</f>
        <v>45000</v>
      </c>
      <c r="L22" s="19">
        <v>0</v>
      </c>
      <c r="O22" t="s">
        <v>69</v>
      </c>
    </row>
    <row r="23" spans="3:17" x14ac:dyDescent="0.25">
      <c r="C23" t="s">
        <v>49</v>
      </c>
      <c r="F23">
        <v>17</v>
      </c>
      <c r="I23" t="s">
        <v>152</v>
      </c>
      <c r="K23" s="3">
        <f>+Loan</f>
        <v>148000</v>
      </c>
      <c r="L23" s="19">
        <v>0.12</v>
      </c>
      <c r="O23" t="s">
        <v>70</v>
      </c>
    </row>
    <row r="24" spans="3:17" x14ac:dyDescent="0.25">
      <c r="C24" t="s">
        <v>11</v>
      </c>
      <c r="F24">
        <v>18</v>
      </c>
      <c r="I24" t="s">
        <v>31</v>
      </c>
      <c r="K24" s="3">
        <f>+Equity</f>
        <v>50000</v>
      </c>
      <c r="L24" s="7">
        <v>5.8299999999999998E-2</v>
      </c>
      <c r="O24" t="s">
        <v>71</v>
      </c>
    </row>
    <row r="25" spans="3:17" x14ac:dyDescent="0.25">
      <c r="C25" s="16">
        <f>VLOOKUP(Pocetna!M13,C7:F23,4,FALSE)</f>
        <v>16</v>
      </c>
      <c r="J25" t="s">
        <v>153</v>
      </c>
      <c r="K25" s="3">
        <f>SUM(K22:K24)</f>
        <v>243000</v>
      </c>
      <c r="L25" s="7">
        <f>+(K22*L22+K23*L23+K24*L24)/K25</f>
        <v>8.5082304526748975E-2</v>
      </c>
      <c r="O25" t="s">
        <v>135</v>
      </c>
    </row>
    <row r="26" spans="3:17" x14ac:dyDescent="0.25">
      <c r="C26" s="11"/>
      <c r="O26" t="s">
        <v>149</v>
      </c>
    </row>
    <row r="27" spans="3:17" x14ac:dyDescent="0.25">
      <c r="O27" t="s">
        <v>73</v>
      </c>
    </row>
    <row r="28" spans="3:17" x14ac:dyDescent="0.25">
      <c r="C28" s="27"/>
    </row>
    <row r="29" spans="3:17" x14ac:dyDescent="0.25">
      <c r="N29" s="20" t="s">
        <v>12</v>
      </c>
      <c r="O29" t="s">
        <v>13</v>
      </c>
      <c r="Q29" s="3">
        <v>0.2</v>
      </c>
    </row>
    <row r="30" spans="3:17" x14ac:dyDescent="0.25">
      <c r="O30" t="s">
        <v>14</v>
      </c>
      <c r="Q30" s="3">
        <v>0.22</v>
      </c>
    </row>
    <row r="31" spans="3:17" x14ac:dyDescent="0.25">
      <c r="O31" t="s">
        <v>15</v>
      </c>
      <c r="Q31" s="3">
        <v>0.27</v>
      </c>
    </row>
    <row r="32" spans="3:17" x14ac:dyDescent="0.25">
      <c r="O32" t="s">
        <v>16</v>
      </c>
      <c r="Q32" s="3">
        <v>0.28000000000000003</v>
      </c>
    </row>
    <row r="33" spans="15:17" x14ac:dyDescent="0.25">
      <c r="O33" t="s">
        <v>17</v>
      </c>
      <c r="Q33" s="3">
        <v>0.8</v>
      </c>
    </row>
    <row r="34" spans="15:17" x14ac:dyDescent="0.25">
      <c r="O34" t="s">
        <v>18</v>
      </c>
      <c r="Q34" s="3">
        <v>0.49399999999999999</v>
      </c>
    </row>
    <row r="35" spans="15:17" x14ac:dyDescent="0.25">
      <c r="O35" t="s">
        <v>221</v>
      </c>
      <c r="Q35" s="3">
        <v>0</v>
      </c>
    </row>
    <row r="36" spans="15:17" x14ac:dyDescent="0.25">
      <c r="O36" t="s">
        <v>192</v>
      </c>
      <c r="Q36" s="3">
        <v>0.22</v>
      </c>
    </row>
    <row r="37" spans="15:17" x14ac:dyDescent="0.25">
      <c r="O37" t="s">
        <v>19</v>
      </c>
      <c r="Q37" s="3">
        <v>0.4</v>
      </c>
    </row>
    <row r="38" spans="15:17" x14ac:dyDescent="0.25">
      <c r="O38" t="s">
        <v>20</v>
      </c>
      <c r="Q38" s="3">
        <v>0.33</v>
      </c>
    </row>
    <row r="39" spans="15:17" x14ac:dyDescent="0.25">
      <c r="O39" t="s">
        <v>21</v>
      </c>
      <c r="Q39" s="3">
        <v>0</v>
      </c>
    </row>
    <row r="40" spans="15:17" x14ac:dyDescent="0.25">
      <c r="O40" t="s">
        <v>148</v>
      </c>
      <c r="Q40" s="8">
        <f>SUM(KonvFaktor!E21)</f>
        <v>0.23897009521255197</v>
      </c>
    </row>
  </sheetData>
  <sheetProtection selectLockedCells="1"/>
  <mergeCells count="2">
    <mergeCell ref="H21:J21"/>
    <mergeCell ref="D3:G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B3:P30"/>
  <sheetViews>
    <sheetView workbookViewId="0">
      <selection activeCell="R24" sqref="R24"/>
    </sheetView>
  </sheetViews>
  <sheetFormatPr defaultRowHeight="15" x14ac:dyDescent="0.25"/>
  <cols>
    <col min="5" max="5" width="18.28515625" customWidth="1"/>
    <col min="6" max="6" width="15.28515625" customWidth="1"/>
    <col min="12" max="12" width="19.85546875" customWidth="1"/>
    <col min="13" max="13" width="14" customWidth="1"/>
  </cols>
  <sheetData>
    <row r="3" spans="2:16" ht="16.5" x14ac:dyDescent="0.35">
      <c r="F3" s="57" t="s">
        <v>154</v>
      </c>
      <c r="G3" s="57"/>
      <c r="H3" s="57"/>
      <c r="I3" s="57"/>
    </row>
    <row r="7" spans="2:16" x14ac:dyDescent="0.25">
      <c r="B7" s="74" t="s">
        <v>74</v>
      </c>
      <c r="C7" s="74"/>
      <c r="D7" s="74"/>
      <c r="E7" s="74"/>
      <c r="F7" s="1" t="s">
        <v>1</v>
      </c>
      <c r="I7" s="72" t="s">
        <v>74</v>
      </c>
      <c r="J7" s="72"/>
      <c r="K7" s="72"/>
      <c r="L7" s="72"/>
      <c r="M7" s="2" t="s">
        <v>22</v>
      </c>
    </row>
    <row r="8" spans="2:16" x14ac:dyDescent="0.25">
      <c r="O8" s="63" t="s">
        <v>140</v>
      </c>
      <c r="P8" s="63"/>
    </row>
    <row r="9" spans="2:16" x14ac:dyDescent="0.25">
      <c r="B9" s="69" t="s">
        <v>53</v>
      </c>
      <c r="C9" s="69"/>
      <c r="D9" s="69"/>
      <c r="E9" s="69"/>
      <c r="F9" s="9">
        <v>4000</v>
      </c>
      <c r="I9" s="69" t="s">
        <v>63</v>
      </c>
      <c r="J9" s="69"/>
      <c r="K9" s="69"/>
      <c r="L9" s="69"/>
      <c r="M9" s="9">
        <v>2000</v>
      </c>
      <c r="O9" s="63"/>
      <c r="P9" s="63"/>
    </row>
    <row r="10" spans="2:16" x14ac:dyDescent="0.25">
      <c r="B10" s="69" t="s">
        <v>54</v>
      </c>
      <c r="C10" s="69"/>
      <c r="D10" s="69"/>
      <c r="E10" s="69"/>
      <c r="F10" s="9">
        <v>3000</v>
      </c>
      <c r="I10" s="69" t="s">
        <v>64</v>
      </c>
      <c r="J10" s="69"/>
      <c r="K10" s="69"/>
      <c r="L10" s="69"/>
      <c r="M10" s="7">
        <v>1</v>
      </c>
    </row>
    <row r="11" spans="2:16" x14ac:dyDescent="0.25">
      <c r="B11" s="69" t="s">
        <v>57</v>
      </c>
      <c r="C11" s="69"/>
      <c r="D11" s="69"/>
      <c r="E11" s="69"/>
      <c r="F11" s="9">
        <v>130000</v>
      </c>
      <c r="I11" s="69" t="s">
        <v>65</v>
      </c>
      <c r="J11" s="69"/>
      <c r="K11" s="69"/>
      <c r="L11" s="69"/>
      <c r="M11" s="24">
        <v>0.03</v>
      </c>
      <c r="O11" s="68" t="s">
        <v>139</v>
      </c>
      <c r="P11" s="68"/>
    </row>
    <row r="12" spans="2:16" x14ac:dyDescent="0.25">
      <c r="B12" s="69" t="s">
        <v>55</v>
      </c>
      <c r="C12" s="69"/>
      <c r="D12" s="69"/>
      <c r="E12" s="69"/>
      <c r="F12" s="9">
        <v>45000</v>
      </c>
      <c r="I12" s="69" t="s">
        <v>66</v>
      </c>
      <c r="J12" s="69"/>
      <c r="K12" s="69"/>
      <c r="L12" s="69"/>
      <c r="M12" s="24">
        <v>0.05</v>
      </c>
      <c r="O12" s="68"/>
      <c r="P12" s="68"/>
    </row>
    <row r="13" spans="2:16" x14ac:dyDescent="0.25">
      <c r="B13" s="69" t="s">
        <v>58</v>
      </c>
      <c r="C13" s="69"/>
      <c r="D13" s="69"/>
      <c r="E13" s="69"/>
      <c r="F13" s="9">
        <v>15000</v>
      </c>
      <c r="I13" s="69" t="s">
        <v>77</v>
      </c>
      <c r="J13" s="69"/>
      <c r="K13" s="69"/>
      <c r="L13" s="69"/>
      <c r="M13" s="25">
        <v>97.44</v>
      </c>
    </row>
    <row r="14" spans="2:16" x14ac:dyDescent="0.25">
      <c r="B14" s="69" t="s">
        <v>56</v>
      </c>
      <c r="C14" s="69"/>
      <c r="D14" s="69"/>
      <c r="E14" s="69"/>
      <c r="F14" s="9">
        <v>10000</v>
      </c>
      <c r="I14" s="21"/>
      <c r="J14" s="21"/>
      <c r="K14" s="21"/>
      <c r="L14" s="21"/>
      <c r="M14" s="8"/>
    </row>
    <row r="15" spans="2:16" x14ac:dyDescent="0.25">
      <c r="B15" s="69" t="s">
        <v>59</v>
      </c>
      <c r="C15" s="69"/>
      <c r="D15" s="69"/>
      <c r="E15" s="69"/>
      <c r="F15" s="9">
        <v>25000</v>
      </c>
      <c r="I15" s="21"/>
      <c r="J15" s="21"/>
      <c r="K15" s="21"/>
      <c r="L15" s="21"/>
      <c r="M15" s="8"/>
    </row>
    <row r="16" spans="2:16" x14ac:dyDescent="0.25">
      <c r="B16" s="69" t="s">
        <v>60</v>
      </c>
      <c r="C16" s="69"/>
      <c r="D16" s="69"/>
      <c r="E16" s="69"/>
      <c r="F16" s="9">
        <v>5000</v>
      </c>
      <c r="I16" s="21"/>
      <c r="J16" s="21"/>
      <c r="K16" s="21"/>
      <c r="L16" s="21"/>
      <c r="M16" s="8"/>
    </row>
    <row r="17" spans="2:13" x14ac:dyDescent="0.25">
      <c r="B17" s="69" t="s">
        <v>61</v>
      </c>
      <c r="C17" s="69"/>
      <c r="D17" s="69"/>
      <c r="E17" s="69"/>
      <c r="F17" s="9">
        <v>2500</v>
      </c>
      <c r="I17" s="21"/>
      <c r="J17" s="21"/>
      <c r="K17" s="21"/>
      <c r="L17" s="21"/>
      <c r="M17" s="8"/>
    </row>
    <row r="18" spans="2:13" x14ac:dyDescent="0.25">
      <c r="B18" s="73" t="s">
        <v>62</v>
      </c>
      <c r="C18" s="73"/>
      <c r="D18" s="73"/>
      <c r="E18" s="73"/>
      <c r="F18" s="9">
        <v>2500</v>
      </c>
      <c r="I18" s="70"/>
      <c r="J18" s="70"/>
      <c r="K18" s="70"/>
      <c r="L18" s="70"/>
      <c r="M18" s="7"/>
    </row>
    <row r="19" spans="2:13" x14ac:dyDescent="0.25">
      <c r="B19" s="69" t="s">
        <v>11</v>
      </c>
      <c r="C19" s="69"/>
      <c r="D19" s="69"/>
      <c r="E19" s="69"/>
      <c r="F19" s="9">
        <v>1000</v>
      </c>
      <c r="I19" s="69" t="s">
        <v>71</v>
      </c>
      <c r="J19" s="69"/>
      <c r="K19" s="69"/>
      <c r="L19" s="69"/>
      <c r="M19" s="24">
        <v>0.06</v>
      </c>
    </row>
    <row r="20" spans="2:13" x14ac:dyDescent="0.25">
      <c r="D20" s="71" t="s">
        <v>75</v>
      </c>
      <c r="E20" s="71"/>
      <c r="F20" s="3">
        <f>SUM(F9:F19)</f>
        <v>243000</v>
      </c>
      <c r="H20" s="45"/>
      <c r="I20" s="69" t="s">
        <v>72</v>
      </c>
      <c r="J20" s="69"/>
      <c r="K20" s="69"/>
      <c r="L20" s="69"/>
      <c r="M20" s="7">
        <v>0.12</v>
      </c>
    </row>
    <row r="21" spans="2:13" x14ac:dyDescent="0.25">
      <c r="D21" s="71" t="s">
        <v>76</v>
      </c>
      <c r="E21" s="71"/>
      <c r="F21" s="3">
        <f>F20*(1+PDV)</f>
        <v>291600</v>
      </c>
      <c r="I21" s="69" t="s">
        <v>149</v>
      </c>
      <c r="J21" s="69"/>
      <c r="K21" s="69"/>
      <c r="L21" s="69"/>
      <c r="M21" s="7">
        <v>5.8299999999999998E-2</v>
      </c>
    </row>
    <row r="22" spans="2:13" x14ac:dyDescent="0.25">
      <c r="B22" s="69" t="s">
        <v>4</v>
      </c>
      <c r="C22" s="69"/>
      <c r="D22" s="69"/>
      <c r="E22" s="69"/>
      <c r="F22" s="3">
        <v>45000</v>
      </c>
      <c r="I22" s="69" t="s">
        <v>69</v>
      </c>
      <c r="J22" s="69"/>
      <c r="K22" s="69"/>
      <c r="L22" s="69"/>
      <c r="M22" s="26">
        <v>8</v>
      </c>
    </row>
    <row r="23" spans="2:13" x14ac:dyDescent="0.25">
      <c r="B23" s="69"/>
      <c r="C23" s="69"/>
      <c r="D23" s="69"/>
      <c r="E23" s="69"/>
      <c r="F23" s="3"/>
      <c r="I23" s="69" t="s">
        <v>73</v>
      </c>
      <c r="J23" s="69"/>
      <c r="K23" s="69"/>
      <c r="L23" s="69"/>
      <c r="M23" s="9" t="s">
        <v>221</v>
      </c>
    </row>
    <row r="24" spans="2:13" x14ac:dyDescent="0.25">
      <c r="B24" s="69"/>
      <c r="C24" s="69"/>
      <c r="D24" s="69"/>
      <c r="E24" s="69"/>
      <c r="F24" s="3"/>
      <c r="I24" s="69" t="s">
        <v>78</v>
      </c>
      <c r="J24" s="69"/>
      <c r="K24" s="69"/>
      <c r="L24" s="69"/>
      <c r="M24" s="3">
        <f>VLOOKUP(M23,PomTab1!O29:Q40,3,FALSE)</f>
        <v>0</v>
      </c>
    </row>
    <row r="25" spans="2:13" x14ac:dyDescent="0.25">
      <c r="B25" s="69"/>
      <c r="C25" s="69"/>
      <c r="D25" s="69"/>
      <c r="E25" s="69"/>
      <c r="I25" s="69" t="s">
        <v>70</v>
      </c>
      <c r="J25" s="69"/>
      <c r="K25" s="69"/>
      <c r="L25" s="69"/>
      <c r="M25" s="10">
        <v>20</v>
      </c>
    </row>
    <row r="26" spans="2:13" x14ac:dyDescent="0.25">
      <c r="B26" s="69"/>
      <c r="C26" s="69"/>
      <c r="D26" s="69"/>
      <c r="E26" s="69"/>
    </row>
    <row r="27" spans="2:13" x14ac:dyDescent="0.25">
      <c r="B27" s="69" t="s">
        <v>31</v>
      </c>
      <c r="C27" s="69"/>
      <c r="D27" s="69"/>
      <c r="E27" s="69"/>
      <c r="F27" s="3">
        <v>50000</v>
      </c>
      <c r="I27" s="69"/>
      <c r="J27" s="69"/>
      <c r="K27" s="69"/>
      <c r="L27" s="69"/>
      <c r="M27" s="13"/>
    </row>
    <row r="28" spans="2:13" x14ac:dyDescent="0.25">
      <c r="E28" s="5" t="s">
        <v>79</v>
      </c>
      <c r="F28" s="3">
        <f>IF(SUM(F22:F27)&gt;F20,FALSE,SUM(F22:F27))</f>
        <v>95000</v>
      </c>
      <c r="I28" s="69"/>
      <c r="J28" s="69"/>
      <c r="K28" s="69"/>
      <c r="L28" s="69"/>
      <c r="M28" s="3"/>
    </row>
    <row r="29" spans="2:13" x14ac:dyDescent="0.25">
      <c r="F29" s="3"/>
      <c r="I29" s="69"/>
      <c r="J29" s="69"/>
      <c r="K29" s="69"/>
      <c r="L29" s="69"/>
      <c r="M29" s="13"/>
    </row>
    <row r="30" spans="2:13" x14ac:dyDescent="0.25">
      <c r="E30" s="4" t="s">
        <v>80</v>
      </c>
      <c r="F30" s="3">
        <f>F20-F28</f>
        <v>148000</v>
      </c>
    </row>
  </sheetData>
  <sheetProtection selectLockedCells="1"/>
  <mergeCells count="40">
    <mergeCell ref="F3:I3"/>
    <mergeCell ref="B17:E17"/>
    <mergeCell ref="B16:E16"/>
    <mergeCell ref="B15:E15"/>
    <mergeCell ref="B14:E14"/>
    <mergeCell ref="B11:E11"/>
    <mergeCell ref="I9:L9"/>
    <mergeCell ref="I10:L10"/>
    <mergeCell ref="B26:E26"/>
    <mergeCell ref="D21:E21"/>
    <mergeCell ref="D20:E20"/>
    <mergeCell ref="B27:E27"/>
    <mergeCell ref="I7:L7"/>
    <mergeCell ref="B22:E22"/>
    <mergeCell ref="B23:E23"/>
    <mergeCell ref="B24:E24"/>
    <mergeCell ref="B25:E25"/>
    <mergeCell ref="B12:E12"/>
    <mergeCell ref="B13:E13"/>
    <mergeCell ref="B18:E18"/>
    <mergeCell ref="B19:E19"/>
    <mergeCell ref="B7:E7"/>
    <mergeCell ref="B9:E9"/>
    <mergeCell ref="B10:E10"/>
    <mergeCell ref="O11:P12"/>
    <mergeCell ref="O8:P9"/>
    <mergeCell ref="I27:L27"/>
    <mergeCell ref="I28:L28"/>
    <mergeCell ref="I29:L29"/>
    <mergeCell ref="I20:L20"/>
    <mergeCell ref="I22:L22"/>
    <mergeCell ref="I23:L23"/>
    <mergeCell ref="I24:L24"/>
    <mergeCell ref="I25:L25"/>
    <mergeCell ref="I11:L11"/>
    <mergeCell ref="I12:L12"/>
    <mergeCell ref="I13:L13"/>
    <mergeCell ref="I19:L19"/>
    <mergeCell ref="I18:L18"/>
    <mergeCell ref="I21:L21"/>
  </mergeCells>
  <dataValidations count="13">
    <dataValidation type="whole" allowBlank="1" showInputMessage="1" showErrorMessage="1" errorTitle="Restriction" error="Ne može biti više od 1.000.000 EUR" promptTitle="COSTSN" prompt="Unesi planirane troškove grupe pozicija" sqref="F9:F19">
      <formula1>0</formula1>
      <formula2>1000000</formula2>
    </dataValidation>
    <dataValidation type="whole" allowBlank="1" showInputMessage="1" showErrorMessage="1" errorTitle="Restriction" error="Maksimalni iznos do 100.000 EUR" promptTitle="Grant scheme" prompt="Unesi iznos granta ili učešća krajnjih korisnika ili sopstveni kapital javne ESCO kompanije" sqref="F22:F27">
      <formula1>0</formula1>
      <formula2>100000</formula2>
    </dataValidation>
    <dataValidation type="whole" allowBlank="1" showInputMessage="1" showErrorMessage="1" errorTitle="Restriction" error="Iznos ne može biti veći od 50.000 EUR godišnje" promptTitle="ESCOCOST" prompt="Iznos godišnjih troškova poslovanja ESCO koji se odnose na projekat. Preporučuje se vrednost do 1% od investicije." sqref="M9">
      <formula1>0</formula1>
      <formula2>50000</formula2>
    </dataValidation>
    <dataValidation type="decimal" allowBlank="1" showInputMessage="1" showErrorMessage="1" errorTitle="Restriction" error="Iznos ne može biti veći od 100%" promptTitle="ESCOFEE" prompt="Iznos godišnjih troškova prihoda ESCO od projekta. Ako se unese 100% smatra se da sav prihod od ušteda zadržava ESCO._x000a_Ako se unese manje od 100% onda razlika od unete vrednosti do 100% se dodeljuje krajnjim korisnicima." sqref="M10">
      <formula1>0</formula1>
      <formula2>1</formula2>
    </dataValidation>
    <dataValidation type="decimal" allowBlank="1" showInputMessage="1" showErrorMessage="1" errorTitle="Restriction" error="Iznos ne može biti veći od 10%" promptTitle="MAINCOST" prompt="Troškovi godišnjeg održavanja. Preporučuje se maksimalni iznos 10%." sqref="M11">
      <formula1>0</formula1>
      <formula2>0.1</formula2>
    </dataValidation>
    <dataValidation type="whole" allowBlank="1" showInputMessage="1" showErrorMessage="1" errorTitle="Restriction" error="Iznos ne može biti veći od 110 EUR/t CO2" promptTitle="CO2TAX" prompt="Preporučuje se iznos 55 EUR/t CO2." sqref="M14:M17">
      <formula1>0</formula1>
      <formula2>110</formula2>
    </dataValidation>
    <dataValidation type="whole" allowBlank="1" showInputMessage="1" showErrorMessage="1" errorTitle="Restriction" error="Maksimalno dozvoljen period 20 godina" promptTitle="GSTF" prompt="Preporučuje se period 12 do 15 godina za mere energetske efikasnosti u zgradama, a 15 do 20 godina za ostale projekte." sqref="M22">
      <formula1>0</formula1>
      <formula2>20</formula2>
    </dataValidation>
    <dataValidation type="whole" allowBlank="1" showInputMessage="1" showErrorMessage="1" errorTitle="Restriction" error="Maksimalno 20 godina" promptTitle="Vremeski okvir projekta" prompt="Preporučuje se:_x000a_7 godina za TS ventile_x000a_15 godina za SCADA_x000a_20 godina za ostalo" sqref="M25">
      <formula1>0</formula1>
      <formula2>20</formula2>
    </dataValidation>
    <dataValidation allowBlank="1" showInputMessage="1" showErrorMessage="1" errorTitle="Restriction" error="Iznos ne može biti veći od 110 EUR/t CO2" promptTitle="CO2TAX" prompt="Iznos koji je važio na izabrani datum (11. april 2023. godine) jeste 97.,44 EUR/t CO2." sqref="M13"/>
    <dataValidation allowBlank="1" showInputMessage="1" showErrorMessage="1" errorTitle="Restriction" error="Iznos ne može biti veći od 7%" promptTitle="DA" prompt="Troškovi amortizacije prema računovodstvenim standardima - za toplinske pumpe ta stopa je 10%." sqref="M12"/>
    <dataValidation allowBlank="1" showInputMessage="1" showErrorMessage="1" errorTitle="Restriction" error="Nije dozvoljen iznos veći od 7.5%" promptTitle="PP" prompt="Prosečan prinos na sopstveni kapital (profitna stopa) prosečno je iznosila za toplane u Srbiji 5.,83%." sqref="M21"/>
    <dataValidation allowBlank="1" showInputMessage="1" showErrorMessage="1" errorTitle="Restriction" error="Nije dozvoljen iznos veći od 7.5%" promptTitle="IR" prompt="Kamatne stope se računaju tako da se doda kamatna stopa banke (najčešće 7.,5%) na iznos 3M Belibor (5.,58%) ili referentne kamatne stope NBS (6%). Ukupno je to uglavnom preko 13%. U ovom primeru uzeli smo kamatnu stopu od 12%." sqref="M20"/>
    <dataValidation type="decimal" allowBlank="1" showInputMessage="1" showErrorMessage="1" errorTitle="Restriction" error="Dozvoljen iznos najviše 10%" promptTitle="DR" prompt="Preporučuje se društvena diskontna stopa od 6%. Kod finansijskih tokova diskontna stopa je ponderisana sredina kamatnih stopa (prinosa na kapital) uključenih kapitala, gde je ponder iznos uključenih kapitala." sqref="M19">
      <formula1>0</formula1>
      <formula2>0.1</formula2>
    </dataValidation>
  </dataValidations>
  <hyperlinks>
    <hyperlink ref="O11:P12" location="Pocetna!M9" display="NAZAD"/>
    <hyperlink ref="O8:P9" location="TrosakEnergije!B2" display="DALJE"/>
  </hyperlink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3">
        <x14:dataValidation type="list" allowBlank="1" showInputMessage="1" showErrorMessage="1" errorTitle="Restriction" error="Prihvatljive su samo ponuđene opcije" promptTitle="Grant&amp;Equity" prompt="Šeme podsticaja (grantovi) i učešće sopstvenog kapitala u finansiranju mera EE i OIE">
          <x14:formula1>
            <xm:f>PomTab1!$O$7:$O$13</xm:f>
          </x14:formula1>
          <xm:sqref>B22:E27</xm:sqref>
        </x14:dataValidation>
        <x14:dataValidation type="list" allowBlank="1" showInputMessage="1" showErrorMessage="1" errorTitle="Restriction" error="Samo stavke ponuđene u listi" promptTitle="CO2 Tax" prompt="Iznos karbon takse">
          <x14:formula1>
            <xm:f>PomTab1!$O$15:$O$20</xm:f>
          </x14:formula1>
          <xm:sqref>I13:L17</xm:sqref>
        </x14:dataValidation>
        <x14:dataValidation type="list" allowBlank="1" showInputMessage="1" showErrorMessage="1" errorTitle="Restriction" error="Samo stavke ponuđene u listi" promptTitle="Operational costs" prompt="Godišnji operativni troškovi ESCO vezani za projekat">
          <x14:formula1>
            <xm:f>PomTab1!$O$15:$O$20</xm:f>
          </x14:formula1>
          <xm:sqref>I9:L9</xm:sqref>
        </x14:dataValidation>
        <x14:dataValidation type="list" allowBlank="1" showInputMessage="1" showErrorMessage="1" errorTitle="Restriction" error="Samo stavke ponuđene u listi" promptTitle="ESCO fee" prompt="Nadoknada/stimulacija koju ESCO odobrava krajnjim korisnicima">
          <x14:formula1>
            <xm:f>PomTab1!$O$15:$O$20</xm:f>
          </x14:formula1>
          <xm:sqref>I10:L10</xm:sqref>
        </x14:dataValidation>
        <x14:dataValidation type="list" allowBlank="1" showInputMessage="1" showErrorMessage="1" errorTitle="Restriction" error="Samo stavke ponuđene u listi" promptTitle="Meintenance cots" prompt="Troškovi godišnjeg održavanja">
          <x14:formula1>
            <xm:f>PomTab1!$O$15:$O$20</xm:f>
          </x14:formula1>
          <xm:sqref>I11:L11</xm:sqref>
        </x14:dataValidation>
        <x14:dataValidation type="list" allowBlank="1" showInputMessage="1" showErrorMessage="1" errorTitle="Restriction" error="Samo stavke ponuđene u listi" promptTitle="Amortization and depreciation" prompt="Amortizacija materijalnih dobara i deprecijacija intelektualne svojine">
          <x14:formula1>
            <xm:f>PomTab1!$O$15:$O$20</xm:f>
          </x14:formula1>
          <xm:sqref>I12:L12</xm:sqref>
        </x14:dataValidation>
        <x14:dataValidation type="list" allowBlank="1" showInputMessage="1" showErrorMessage="1" errorTitle="Restriction" error="Moguće je uneti samo ponuđene opcije" promptTitle="Costs" prompt="Unesi troškove projekta">
          <x14:formula1>
            <xm:f>PomTab1!$I$7:$I$17</xm:f>
          </x14:formula1>
          <xm:sqref>B9:E19</xm:sqref>
        </x14:dataValidation>
        <x14:dataValidation type="list" allowBlank="1" showInputMessage="1" showErrorMessage="1" errorTitle="Restriction" error="Može se izabrati samo ponuđena opcija." promptTitle="Time frame" prompt="Ne popunjavati">
          <x14:formula1>
            <xm:f>PomTab1!$O$21:$O$27</xm:f>
          </x14:formula1>
          <xm:sqref>I25:L25</xm:sqref>
        </x14:dataValidation>
        <x14:dataValidation type="list" allowBlank="1" showInputMessage="1" showErrorMessage="1" errorTitle="Restriction" error="Može se izabrati samo ponuđena opcija." promptTitle="Interest rate" prompt="Kamatna stopa">
          <x14:formula1>
            <xm:f>PomTab1!$O$21:$O$27</xm:f>
          </x14:formula1>
          <xm:sqref>I20:I21 J20:L20</xm:sqref>
        </x14:dataValidation>
        <x14:dataValidation type="list" allowBlank="1" showInputMessage="1" showErrorMessage="1" errorTitle="Restriction" error="Može se izabrati samo ponuđena opcija." promptTitle="Discount rate" prompt="Diskontna stopa">
          <x14:formula1>
            <xm:f>PomTab1!$O$21:$O$27</xm:f>
          </x14:formula1>
          <xm:sqref>I19:L19</xm:sqref>
        </x14:dataValidation>
        <x14:dataValidation type="list" allowBlank="1" showInputMessage="1" showErrorMessage="1" errorTitle="Restriction" error="Može se izabrati samo ponuđena opcija." promptTitle="Pay-off period / garantee servic" prompt="Period otplate investicije ili period u kome se usluga ugovara">
          <x14:formula1>
            <xm:f>PomTab1!$O$21:$O$27</xm:f>
          </x14:formula1>
          <xm:sqref>I22:L22</xm:sqref>
        </x14:dataValidation>
        <x14:dataValidation type="list" allowBlank="1" showInputMessage="1" showErrorMessage="1" errorTitle="Restriction" error="Može se izabrati samo ponuđena opcija." promptTitle="Conversion factor" prompt="Faktor konverzije za izračunavanje emisije CO2">
          <x14:formula1>
            <xm:f>PomTab1!$O$21:$O$27</xm:f>
          </x14:formula1>
          <xm:sqref>I23:L24</xm:sqref>
        </x14:dataValidation>
        <x14:dataValidation type="list" allowBlank="1" showInputMessage="1" showErrorMessage="1" errorTitle="Restriction" error="Izabrati sa liste" promptTitle="FUELENERGY" prompt="Vrsta goriva ili energije">
          <x14:formula1>
            <xm:f>PomTab1!$O$29:$O$41</xm:f>
          </x14:formula1>
          <xm:sqref>M23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B3:R24"/>
  <sheetViews>
    <sheetView workbookViewId="0">
      <selection activeCell="N31" sqref="N31"/>
    </sheetView>
  </sheetViews>
  <sheetFormatPr defaultRowHeight="15" x14ac:dyDescent="0.25"/>
  <cols>
    <col min="9" max="9" width="10.28515625" customWidth="1"/>
    <col min="10" max="10" width="14" customWidth="1"/>
    <col min="11" max="11" width="9.140625" customWidth="1"/>
    <col min="12" max="12" width="9.140625" hidden="1" customWidth="1"/>
  </cols>
  <sheetData>
    <row r="3" spans="2:18" ht="16.5" x14ac:dyDescent="0.35">
      <c r="G3" s="57" t="s">
        <v>154</v>
      </c>
      <c r="H3" s="57"/>
      <c r="I3" s="57"/>
      <c r="J3" s="57"/>
    </row>
    <row r="8" spans="2:18" ht="21" x14ac:dyDescent="0.35">
      <c r="B8" s="65" t="s">
        <v>81</v>
      </c>
      <c r="C8" s="65"/>
      <c r="D8" s="65"/>
      <c r="E8" s="65"/>
      <c r="F8" s="65"/>
      <c r="G8" s="65"/>
    </row>
    <row r="10" spans="2:18" x14ac:dyDescent="0.25">
      <c r="B10" s="69" t="s">
        <v>82</v>
      </c>
      <c r="C10" s="69"/>
      <c r="D10" s="69"/>
      <c r="E10" s="69"/>
      <c r="I10" s="6" t="s">
        <v>23</v>
      </c>
      <c r="J10" s="14">
        <f>J16*WHOUR</f>
        <v>1100</v>
      </c>
      <c r="N10" s="62" t="s">
        <v>139</v>
      </c>
      <c r="O10" s="62"/>
      <c r="Q10" s="75" t="s">
        <v>140</v>
      </c>
      <c r="R10" s="75"/>
    </row>
    <row r="11" spans="2:18" x14ac:dyDescent="0.25">
      <c r="B11" s="69" t="s">
        <v>83</v>
      </c>
      <c r="C11" s="69"/>
      <c r="D11" s="69"/>
      <c r="E11" s="69"/>
      <c r="I11" s="6" t="s">
        <v>29</v>
      </c>
      <c r="J11" s="14">
        <v>12080</v>
      </c>
      <c r="N11" s="62"/>
      <c r="O11" s="62"/>
      <c r="Q11" s="75"/>
      <c r="R11" s="75"/>
    </row>
    <row r="12" spans="2:18" x14ac:dyDescent="0.25">
      <c r="B12" s="69" t="s">
        <v>84</v>
      </c>
      <c r="C12" s="69"/>
      <c r="D12" s="69"/>
      <c r="E12" s="69"/>
      <c r="I12" s="6" t="s">
        <v>29</v>
      </c>
      <c r="J12" s="14">
        <v>8900</v>
      </c>
    </row>
    <row r="13" spans="2:18" ht="18" x14ac:dyDescent="0.35">
      <c r="B13" s="69" t="s">
        <v>85</v>
      </c>
      <c r="C13" s="69"/>
      <c r="D13" s="69"/>
      <c r="E13" s="69"/>
      <c r="I13" s="6" t="s">
        <v>34</v>
      </c>
      <c r="J13" s="14">
        <v>11400</v>
      </c>
      <c r="P13" s="70"/>
    </row>
    <row r="14" spans="2:18" x14ac:dyDescent="0.25">
      <c r="B14" s="69" t="s">
        <v>86</v>
      </c>
      <c r="C14" s="69"/>
      <c r="D14" s="69"/>
      <c r="E14" s="69"/>
      <c r="I14" s="6" t="s">
        <v>30</v>
      </c>
      <c r="J14" s="23">
        <v>0.8</v>
      </c>
      <c r="P14" s="70"/>
    </row>
    <row r="15" spans="2:18" x14ac:dyDescent="0.25">
      <c r="B15" s="69" t="s">
        <v>87</v>
      </c>
      <c r="C15" s="69"/>
      <c r="D15" s="69"/>
      <c r="E15" s="69"/>
      <c r="I15" s="6" t="s">
        <v>30</v>
      </c>
      <c r="J15" s="23">
        <v>0.9</v>
      </c>
    </row>
    <row r="16" spans="2:18" x14ac:dyDescent="0.25">
      <c r="B16" s="69" t="s">
        <v>88</v>
      </c>
      <c r="C16" s="69"/>
      <c r="D16" s="69"/>
      <c r="E16" s="69"/>
      <c r="I16" s="6" t="s">
        <v>32</v>
      </c>
      <c r="J16" s="14">
        <v>1</v>
      </c>
    </row>
    <row r="17" spans="2:14" x14ac:dyDescent="0.25">
      <c r="B17" s="69" t="s">
        <v>89</v>
      </c>
      <c r="C17" s="69"/>
      <c r="D17" s="69"/>
      <c r="E17" s="69"/>
      <c r="I17" s="6" t="s">
        <v>32</v>
      </c>
      <c r="J17" s="14">
        <v>0.02</v>
      </c>
      <c r="N17" s="40"/>
    </row>
    <row r="18" spans="2:14" x14ac:dyDescent="0.25">
      <c r="B18" s="69" t="s">
        <v>90</v>
      </c>
      <c r="C18" s="69"/>
      <c r="D18" s="69"/>
      <c r="E18" s="69"/>
      <c r="I18" s="6" t="s">
        <v>30</v>
      </c>
      <c r="J18" s="14">
        <v>1100</v>
      </c>
    </row>
    <row r="19" spans="2:14" ht="18" x14ac:dyDescent="0.35">
      <c r="B19" s="69" t="s">
        <v>91</v>
      </c>
      <c r="C19" s="69"/>
      <c r="D19" s="69"/>
      <c r="E19" s="69"/>
      <c r="I19" s="6" t="s">
        <v>35</v>
      </c>
      <c r="J19" s="14">
        <f>HEAT/5.17/eta</f>
        <v>265.95744680851061</v>
      </c>
    </row>
    <row r="20" spans="2:14" x14ac:dyDescent="0.25">
      <c r="B20" s="69" t="s">
        <v>92</v>
      </c>
      <c r="C20" s="69"/>
      <c r="D20" s="69"/>
      <c r="E20" s="69"/>
      <c r="I20" s="6" t="s">
        <v>33</v>
      </c>
      <c r="J20" s="14">
        <v>1200</v>
      </c>
    </row>
    <row r="22" spans="2:14" ht="18" x14ac:dyDescent="0.35">
      <c r="B22" t="s">
        <v>93</v>
      </c>
      <c r="I22" s="60" t="s">
        <v>18</v>
      </c>
      <c r="J22" s="60"/>
    </row>
    <row r="23" spans="2:14" x14ac:dyDescent="0.25">
      <c r="B23" s="69" t="s">
        <v>94</v>
      </c>
      <c r="C23" s="69"/>
      <c r="D23" s="69"/>
      <c r="E23" s="69"/>
      <c r="L23" t="b">
        <v>1</v>
      </c>
    </row>
    <row r="24" spans="2:14" ht="18" x14ac:dyDescent="0.35">
      <c r="B24" t="s">
        <v>95</v>
      </c>
      <c r="J24" s="20">
        <f>VLOOKUP(I22,PomTab1!O29:Q40,3,FALSE)-IF(CERT=FALSE,0.34,0)</f>
        <v>0.49399999999999999</v>
      </c>
      <c r="L24" s="6"/>
    </row>
  </sheetData>
  <sheetProtection selectLockedCells="1"/>
  <mergeCells count="18">
    <mergeCell ref="G3:J3"/>
    <mergeCell ref="B8:G8"/>
    <mergeCell ref="B12:E12"/>
    <mergeCell ref="B11:E11"/>
    <mergeCell ref="N10:O11"/>
    <mergeCell ref="Q10:R11"/>
    <mergeCell ref="B10:E10"/>
    <mergeCell ref="P13:P14"/>
    <mergeCell ref="B23:E23"/>
    <mergeCell ref="B16:E16"/>
    <mergeCell ref="B14:E14"/>
    <mergeCell ref="I22:J22"/>
    <mergeCell ref="B19:E19"/>
    <mergeCell ref="B17:E17"/>
    <mergeCell ref="B15:E15"/>
    <mergeCell ref="B18:E18"/>
    <mergeCell ref="B20:E20"/>
    <mergeCell ref="B13:E13"/>
  </mergeCells>
  <dataValidations count="3">
    <dataValidation type="whole" allowBlank="1" showInputMessage="1" showErrorMessage="1" promptTitle="WHOURS" prompt="Preporučuje se 500 - 700 za javne zgrade i toplotne pumpe vazduh/voda, 1100 - 1300 za daljinsko grejanje sa prekidom, 1300 - 1500 za daljinsko grejanje bez prekida, 3000 - 3600 za toplotne pumpe voda/voda" sqref="J18">
      <formula1>500</formula1>
      <formula2>3600</formula2>
    </dataValidation>
    <dataValidation type="decimal" allowBlank="1" showInputMessage="1" showErrorMessage="1" errorTitle="Restriction" error="Dozvoljeno najviše 30.000 t/a" promptTitle="Biomass" prompt="Potrošnja biomase" sqref="J19:J20">
      <formula1>0</formula1>
      <formula2>30000</formula2>
    </dataValidation>
    <dataValidation allowBlank="1" showInputMessage="1" showErrorMessage="1" promptTitle="CenaKupci" prompt="Prema analizi TOPS-a prosečna cena koju su kupci plaćali bila je 8876 RSD/MWh toplinske energije, a medijana je iznosila 8100 RSD/MWh." sqref="J12"/>
  </dataValidations>
  <hyperlinks>
    <hyperlink ref="N10:O11" location="UnosPodataka!O6" display="NAZAD"/>
    <hyperlink ref="Q10:R11" location="Anuiteti!B2" display="DALJE"/>
  </hyperlinks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7" r:id="rId4" name="Check Box 5">
              <controlPr locked="0" defaultSize="0" autoFill="0" autoLine="0" autoPict="0">
                <anchor moveWithCells="1">
                  <from>
                    <xdr:col>9</xdr:col>
                    <xdr:colOff>9525</xdr:colOff>
                    <xdr:row>22</xdr:row>
                    <xdr:rowOff>9525</xdr:rowOff>
                  </from>
                  <to>
                    <xdr:col>9</xdr:col>
                    <xdr:colOff>923925</xdr:colOff>
                    <xdr:row>23</xdr:row>
                    <xdr:rowOff>9525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Title="Restriction" error="Samo navedeno u listi" promptTitle="REFFUEL" prompt="Referentno gorivo za obračun smanjenja emisija CO2">
          <x14:formula1>
            <xm:f>PomTab1!$O$29:$O$40</xm:f>
          </x14:formula1>
          <xm:sqref>I22:J22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B4:M33"/>
  <sheetViews>
    <sheetView workbookViewId="0">
      <selection activeCell="B33" sqref="B33"/>
    </sheetView>
  </sheetViews>
  <sheetFormatPr defaultRowHeight="15" x14ac:dyDescent="0.25"/>
  <cols>
    <col min="3" max="3" width="32.140625" customWidth="1"/>
    <col min="4" max="4" width="32.28515625" customWidth="1"/>
    <col min="5" max="5" width="14.140625" customWidth="1"/>
  </cols>
  <sheetData>
    <row r="4" spans="2:13" ht="16.5" x14ac:dyDescent="0.35">
      <c r="D4" s="57" t="s">
        <v>154</v>
      </c>
      <c r="E4" s="57"/>
      <c r="F4" s="57"/>
      <c r="G4" s="57"/>
    </row>
    <row r="8" spans="2:13" ht="21" x14ac:dyDescent="0.35">
      <c r="B8" s="65" t="s">
        <v>96</v>
      </c>
      <c r="C8" s="65"/>
      <c r="D8" s="65"/>
      <c r="E8" s="65"/>
      <c r="F8" s="65"/>
      <c r="G8" s="65"/>
    </row>
    <row r="10" spans="2:13" x14ac:dyDescent="0.25">
      <c r="B10" t="s">
        <v>97</v>
      </c>
      <c r="D10" s="6" t="s">
        <v>1</v>
      </c>
      <c r="E10" s="15">
        <f>Loan</f>
        <v>148000</v>
      </c>
      <c r="I10" s="62" t="s">
        <v>139</v>
      </c>
      <c r="J10" s="62"/>
      <c r="L10" s="75" t="s">
        <v>140</v>
      </c>
      <c r="M10" s="75"/>
    </row>
    <row r="11" spans="2:13" x14ac:dyDescent="0.25">
      <c r="I11" s="62"/>
      <c r="J11" s="62"/>
      <c r="L11" s="75"/>
      <c r="M11" s="75"/>
    </row>
    <row r="12" spans="2:13" x14ac:dyDescent="0.25">
      <c r="B12" s="16" t="s">
        <v>24</v>
      </c>
      <c r="C12" s="16" t="s">
        <v>98</v>
      </c>
      <c r="D12" s="16" t="s">
        <v>99</v>
      </c>
      <c r="E12" s="16" t="s">
        <v>100</v>
      </c>
    </row>
    <row r="13" spans="2:13" x14ac:dyDescent="0.25">
      <c r="K13" s="70"/>
    </row>
    <row r="14" spans="2:13" x14ac:dyDescent="0.25">
      <c r="B14">
        <v>1</v>
      </c>
      <c r="C14" s="3">
        <f>E10</f>
        <v>148000</v>
      </c>
      <c r="D14" s="3">
        <f>IF(UnosPodataka!M20=0,"",UnosPodataka!$M$20*Anuiteti!$E$10)</f>
        <v>17760</v>
      </c>
      <c r="E14" s="3">
        <f>PMT(UnosPodataka!$M$20,UnosPodataka!$M$22,Anuiteti!$E$10)</f>
        <v>-29792.820523736842</v>
      </c>
      <c r="K14" s="70"/>
    </row>
    <row r="15" spans="2:13" x14ac:dyDescent="0.25">
      <c r="B15">
        <f>IF(B14&lt;UnosPodataka!$M$22,B14+1,"")</f>
        <v>2</v>
      </c>
      <c r="C15" s="3">
        <f>IF(B15&lt;&gt;"",SUM(C14:E14),"")</f>
        <v>135967.17947626315</v>
      </c>
      <c r="D15" s="3">
        <f>IF(B15&lt;&gt;"",C15*UnosPodataka!$M$20,"")</f>
        <v>16316.061537151578</v>
      </c>
      <c r="E15" s="3">
        <f>IF(B15&lt;&gt;"",PMT(UnosPodataka!$M$20,UnosPodataka!$M$22,Anuiteti!$E$10),"")</f>
        <v>-29792.820523736842</v>
      </c>
    </row>
    <row r="16" spans="2:13" x14ac:dyDescent="0.25">
      <c r="B16">
        <f>IF(B15&lt;UnosPodataka!$M$22,B15+1,"")</f>
        <v>3</v>
      </c>
      <c r="C16" s="3">
        <f t="shared" ref="C16:C33" si="0">IF(B16&lt;&gt;"",SUM(C15:E15),"")</f>
        <v>122490.42048967788</v>
      </c>
      <c r="D16" s="3">
        <f>IF(B16&lt;&gt;"",C16*UnosPodataka!$M$20,"")</f>
        <v>14698.850458761346</v>
      </c>
      <c r="E16" s="3">
        <f>IF(B16&lt;&gt;"",PMT(UnosPodataka!$M$20,UnosPodataka!$M$22,Anuiteti!$E$10),"")</f>
        <v>-29792.820523736842</v>
      </c>
    </row>
    <row r="17" spans="2:5" x14ac:dyDescent="0.25">
      <c r="B17">
        <f>IF(B16&lt;UnosPodataka!$M$22,B16+1,"")</f>
        <v>4</v>
      </c>
      <c r="C17" s="3">
        <f t="shared" si="0"/>
        <v>107396.45042470239</v>
      </c>
      <c r="D17" s="3">
        <f>IF(B17&lt;&gt;"",C17*UnosPodataka!$M$20,"")</f>
        <v>12887.574050964286</v>
      </c>
      <c r="E17" s="3">
        <f>IF(B17&lt;&gt;"",PMT(UnosPodataka!$M$20,UnosPodataka!$M$22,Anuiteti!$E$10),"")</f>
        <v>-29792.820523736842</v>
      </c>
    </row>
    <row r="18" spans="2:5" x14ac:dyDescent="0.25">
      <c r="B18">
        <f>IF(B17&lt;UnosPodataka!$M$22,B17+1,"")</f>
        <v>5</v>
      </c>
      <c r="C18" s="3">
        <f t="shared" si="0"/>
        <v>90491.203951929827</v>
      </c>
      <c r="D18" s="3">
        <f>IF(B18&lt;&gt;"",C18*UnosPodataka!$M$20,"")</f>
        <v>10858.944474231579</v>
      </c>
      <c r="E18" s="3">
        <f>IF(B18&lt;&gt;"",PMT(UnosPodataka!$M$20,UnosPodataka!$M$22,Anuiteti!$E$10),"")</f>
        <v>-29792.820523736842</v>
      </c>
    </row>
    <row r="19" spans="2:5" x14ac:dyDescent="0.25">
      <c r="B19">
        <f>IF(B18&lt;UnosPodataka!$M$22,B18+1,"")</f>
        <v>6</v>
      </c>
      <c r="C19" s="3">
        <f t="shared" si="0"/>
        <v>71557.327902424571</v>
      </c>
      <c r="D19" s="3">
        <f>IF(B19&lt;&gt;"",C19*UnosPodataka!$M$20,"")</f>
        <v>8586.8793482909477</v>
      </c>
      <c r="E19" s="3">
        <f>IF(B19&lt;&gt;"",PMT(UnosPodataka!$M$20,UnosPodataka!$M$22,Anuiteti!$E$10),"")</f>
        <v>-29792.820523736842</v>
      </c>
    </row>
    <row r="20" spans="2:5" x14ac:dyDescent="0.25">
      <c r="B20">
        <f>IF(B19&lt;UnosPodataka!$M$22,B19+1,"")</f>
        <v>7</v>
      </c>
      <c r="C20" s="3">
        <f t="shared" si="0"/>
        <v>50351.386726978686</v>
      </c>
      <c r="D20" s="3">
        <f>IF(B20&lt;&gt;"",C20*UnosPodataka!$M$20,"")</f>
        <v>6042.1664072374424</v>
      </c>
      <c r="E20" s="3">
        <f>IF(B20&lt;&gt;"",PMT(UnosPodataka!$M$20,UnosPodataka!$M$22,Anuiteti!$E$10),"")</f>
        <v>-29792.820523736842</v>
      </c>
    </row>
    <row r="21" spans="2:5" x14ac:dyDescent="0.25">
      <c r="B21">
        <f>IF(B20&lt;UnosPodataka!$M$22,B20+1,"")</f>
        <v>8</v>
      </c>
      <c r="C21" s="3">
        <f t="shared" si="0"/>
        <v>26600.732610479285</v>
      </c>
      <c r="D21" s="3">
        <f>IF(B21&lt;&gt;"",C21*UnosPodataka!$M$20,"")</f>
        <v>3192.0879132575142</v>
      </c>
      <c r="E21" s="3">
        <f>IF(B21&lt;&gt;"",PMT(UnosPodataka!$M$20,UnosPodataka!$M$22,Anuiteti!$E$10),"")</f>
        <v>-29792.820523736842</v>
      </c>
    </row>
    <row r="22" spans="2:5" x14ac:dyDescent="0.25">
      <c r="B22" t="str">
        <f>IF(B21&lt;UnosPodataka!$M$22,B21+1,"")</f>
        <v/>
      </c>
      <c r="C22" s="3" t="str">
        <f t="shared" si="0"/>
        <v/>
      </c>
      <c r="D22" s="3" t="str">
        <f>IF(B22&lt;&gt;"",C22*UnosPodataka!$M$20,"")</f>
        <v/>
      </c>
      <c r="E22" s="3" t="str">
        <f>IF(B22&lt;&gt;"",PMT(UnosPodataka!$M$20,UnosPodataka!$M$22,Anuiteti!$E$10),"")</f>
        <v/>
      </c>
    </row>
    <row r="23" spans="2:5" x14ac:dyDescent="0.25">
      <c r="B23" t="str">
        <f>IF(B22&lt;UnosPodataka!$M$22,B22+1,"")</f>
        <v/>
      </c>
      <c r="C23" s="3" t="str">
        <f t="shared" si="0"/>
        <v/>
      </c>
      <c r="D23" s="3" t="str">
        <f>IF(B23&lt;&gt;"",C23*UnosPodataka!$M$20,"")</f>
        <v/>
      </c>
      <c r="E23" s="3" t="str">
        <f>IF(B23&lt;&gt;"",PMT(UnosPodataka!$M$20,UnosPodataka!$M$22,Anuiteti!$E$10),"")</f>
        <v/>
      </c>
    </row>
    <row r="24" spans="2:5" x14ac:dyDescent="0.25">
      <c r="B24" t="str">
        <f>IF(B23&lt;UnosPodataka!$M$22,B23+1,"")</f>
        <v/>
      </c>
      <c r="C24" s="3" t="str">
        <f t="shared" si="0"/>
        <v/>
      </c>
      <c r="D24" s="3" t="str">
        <f>IF(B24&lt;&gt;"",C24*UnosPodataka!$M$20,"")</f>
        <v/>
      </c>
      <c r="E24" s="3" t="str">
        <f>IF(B24&lt;&gt;"",PMT(UnosPodataka!$M$20,UnosPodataka!$M$22,Anuiteti!$E$10),"")</f>
        <v/>
      </c>
    </row>
    <row r="25" spans="2:5" x14ac:dyDescent="0.25">
      <c r="B25" t="str">
        <f>IF(B24&lt;UnosPodataka!$M$22,B24+1,"")</f>
        <v/>
      </c>
      <c r="C25" s="3" t="str">
        <f t="shared" si="0"/>
        <v/>
      </c>
      <c r="D25" s="3" t="str">
        <f>IF(B25&lt;&gt;"",C25*UnosPodataka!$M$20,"")</f>
        <v/>
      </c>
      <c r="E25" s="3" t="str">
        <f>IF(B25&lt;&gt;"",PMT(UnosPodataka!$M$20,UnosPodataka!$M$22,Anuiteti!$E$10),"")</f>
        <v/>
      </c>
    </row>
    <row r="26" spans="2:5" x14ac:dyDescent="0.25">
      <c r="B26" t="str">
        <f>IF(B25&lt;UnosPodataka!$M$22,B25+1,"")</f>
        <v/>
      </c>
      <c r="C26" s="3" t="str">
        <f t="shared" si="0"/>
        <v/>
      </c>
      <c r="D26" s="3" t="str">
        <f>IF(B26&lt;&gt;"",C26*UnosPodataka!$M$20,"")</f>
        <v/>
      </c>
      <c r="E26" s="3" t="str">
        <f>IF(B26&lt;&gt;"",PMT(UnosPodataka!$M$20,UnosPodataka!$M$22,Anuiteti!$E$10),"")</f>
        <v/>
      </c>
    </row>
    <row r="27" spans="2:5" x14ac:dyDescent="0.25">
      <c r="B27" t="str">
        <f>IF(B26&lt;UnosPodataka!$M$22,B26+1,"")</f>
        <v/>
      </c>
      <c r="C27" s="3" t="str">
        <f t="shared" si="0"/>
        <v/>
      </c>
      <c r="D27" s="3" t="str">
        <f>IF(B27&lt;&gt;"",C27*UnosPodataka!$M$20,"")</f>
        <v/>
      </c>
      <c r="E27" s="3" t="str">
        <f>IF(B27&lt;&gt;"",PMT(UnosPodataka!$M$20,UnosPodataka!$M$22,Anuiteti!$E$10),"")</f>
        <v/>
      </c>
    </row>
    <row r="28" spans="2:5" x14ac:dyDescent="0.25">
      <c r="B28" t="str">
        <f>IF(B27&lt;UnosPodataka!$M$22,B27+1,"")</f>
        <v/>
      </c>
      <c r="C28" s="3" t="str">
        <f t="shared" si="0"/>
        <v/>
      </c>
      <c r="D28" s="3" t="str">
        <f>IF(B28&lt;&gt;"",C28*UnosPodataka!$M$20,"")</f>
        <v/>
      </c>
      <c r="E28" s="3" t="str">
        <f>IF(B28&lt;&gt;"",PMT(UnosPodataka!$M$20,UnosPodataka!$M$22,Anuiteti!$E$10),"")</f>
        <v/>
      </c>
    </row>
    <row r="29" spans="2:5" x14ac:dyDescent="0.25">
      <c r="B29" t="str">
        <f>IF(B28&lt;UnosPodataka!$M$22,B28+1,"")</f>
        <v/>
      </c>
      <c r="C29" s="3" t="str">
        <f t="shared" si="0"/>
        <v/>
      </c>
      <c r="D29" s="3" t="str">
        <f>IF(B29&lt;&gt;"",C29*UnosPodataka!$M$20,"")</f>
        <v/>
      </c>
      <c r="E29" s="3" t="str">
        <f>IF(B29&lt;&gt;"",PMT(UnosPodataka!$M$20,UnosPodataka!$M$22,Anuiteti!$E$10),"")</f>
        <v/>
      </c>
    </row>
    <row r="30" spans="2:5" x14ac:dyDescent="0.25">
      <c r="B30" t="str">
        <f>IF(B29&lt;UnosPodataka!$M$22,B29+1,"")</f>
        <v/>
      </c>
      <c r="C30" s="3" t="str">
        <f t="shared" si="0"/>
        <v/>
      </c>
      <c r="D30" s="3" t="str">
        <f>IF(B30&lt;&gt;"",C30*UnosPodataka!$M$20,"")</f>
        <v/>
      </c>
      <c r="E30" s="3" t="str">
        <f>IF(B30&lt;&gt;"",PMT(UnosPodataka!$M$20,UnosPodataka!$M$22,Anuiteti!$E$10),"")</f>
        <v/>
      </c>
    </row>
    <row r="31" spans="2:5" x14ac:dyDescent="0.25">
      <c r="B31" t="str">
        <f>IF(B30&lt;UnosPodataka!$M$22,B30+1,"")</f>
        <v/>
      </c>
      <c r="C31" s="3" t="str">
        <f t="shared" si="0"/>
        <v/>
      </c>
      <c r="D31" s="3" t="str">
        <f>IF(B31&lt;&gt;"",C31*UnosPodataka!$M$20,"")</f>
        <v/>
      </c>
      <c r="E31" s="3" t="str">
        <f>IF(B31&lt;&gt;"",PMT(UnosPodataka!$M$20,UnosPodataka!$M$22,Anuiteti!$E$10),"")</f>
        <v/>
      </c>
    </row>
    <row r="32" spans="2:5" x14ac:dyDescent="0.25">
      <c r="B32" t="str">
        <f>IF(B31&lt;UnosPodataka!$M$22,B31+1,"")</f>
        <v/>
      </c>
      <c r="C32" s="3" t="str">
        <f t="shared" si="0"/>
        <v/>
      </c>
      <c r="D32" s="3" t="str">
        <f>IF(B32&lt;&gt;"",C32*UnosPodataka!$M$20,"")</f>
        <v/>
      </c>
      <c r="E32" s="3" t="str">
        <f>IF(B32&lt;&gt;"",PMT(UnosPodataka!$M$20,UnosPodataka!$M$22,Anuiteti!$E$10),"")</f>
        <v/>
      </c>
    </row>
    <row r="33" spans="2:5" x14ac:dyDescent="0.25">
      <c r="B33" t="str">
        <f>IF(B32&lt;UnosPodataka!$M$22,B32+1,"")</f>
        <v/>
      </c>
      <c r="C33" s="3" t="str">
        <f t="shared" si="0"/>
        <v/>
      </c>
      <c r="D33" s="3" t="str">
        <f>IF(B33&lt;&gt;"",C33*UnosPodataka!$M$20,"")</f>
        <v/>
      </c>
      <c r="E33" s="3" t="str">
        <f>IF(B33&lt;&gt;"",PMT(UnosPodataka!$M$20,UnosPodataka!$M$22,Anuiteti!$E$10),"")</f>
        <v/>
      </c>
    </row>
  </sheetData>
  <sheetProtection selectLockedCells="1"/>
  <mergeCells count="5">
    <mergeCell ref="B8:G8"/>
    <mergeCell ref="I10:J11"/>
    <mergeCell ref="L10:M11"/>
    <mergeCell ref="K13:K14"/>
    <mergeCell ref="D4:G4"/>
  </mergeCells>
  <hyperlinks>
    <hyperlink ref="I10:J11" location="TrosakEnergije!N4" display="NAZAD"/>
    <hyperlink ref="L10:M11" location="Fina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4:Y63"/>
  <sheetViews>
    <sheetView topLeftCell="A6" zoomScale="80" zoomScaleNormal="80" workbookViewId="0">
      <selection activeCell="T23" sqref="T23"/>
    </sheetView>
  </sheetViews>
  <sheetFormatPr defaultRowHeight="15" x14ac:dyDescent="0.25"/>
  <cols>
    <col min="4" max="4" width="13.7109375" customWidth="1"/>
    <col min="5" max="5" width="12.140625" customWidth="1"/>
    <col min="6" max="6" width="11.85546875" customWidth="1"/>
    <col min="7" max="7" width="13.42578125" customWidth="1"/>
    <col min="8" max="8" width="11.285156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8" width="12.5703125" customWidth="1"/>
    <col min="19" max="19" width="11.85546875" customWidth="1"/>
    <col min="20" max="20" width="12" customWidth="1"/>
    <col min="21" max="21" width="12.28515625" customWidth="1"/>
    <col min="22" max="22" width="14.5703125" customWidth="1"/>
    <col min="23" max="23" width="12.28515625" customWidth="1"/>
    <col min="24" max="24" width="12.7109375" customWidth="1"/>
    <col min="25" max="25" width="13" customWidth="1"/>
  </cols>
  <sheetData>
    <row r="4" spans="1:25" ht="16.5" x14ac:dyDescent="0.35">
      <c r="F4" s="57" t="s">
        <v>154</v>
      </c>
      <c r="G4" s="57"/>
      <c r="H4" s="57"/>
      <c r="I4" s="57"/>
    </row>
    <row r="7" spans="1:25" ht="21" x14ac:dyDescent="0.35">
      <c r="A7" s="65" t="s">
        <v>101</v>
      </c>
      <c r="B7" s="65"/>
      <c r="C7" s="65"/>
      <c r="D7" s="65"/>
      <c r="I7" s="76" t="s">
        <v>139</v>
      </c>
      <c r="J7" s="76"/>
      <c r="N7" s="78" t="s">
        <v>140</v>
      </c>
      <c r="O7" s="78"/>
    </row>
    <row r="9" spans="1:25" x14ac:dyDescent="0.25">
      <c r="A9" s="60" t="s">
        <v>70</v>
      </c>
      <c r="B9" s="60"/>
      <c r="C9" s="60"/>
      <c r="D9" s="60"/>
      <c r="E9" s="16">
        <v>0</v>
      </c>
      <c r="F9" s="16">
        <v>1</v>
      </c>
      <c r="G9" s="16">
        <f>IF(F9&lt;UnosPodataka!$M$25,FinaIndikatori!F9+1,"")</f>
        <v>2</v>
      </c>
      <c r="H9" s="16">
        <f>IF(G9&lt;UnosPodataka!$M$25,FinaIndikatori!G9+1,"")</f>
        <v>3</v>
      </c>
      <c r="I9" s="16">
        <f>IF(H9&lt;UnosPodataka!$M$25,FinaIndikatori!H9+1,"")</f>
        <v>4</v>
      </c>
      <c r="J9" s="16">
        <f>IF(I9&lt;UnosPodataka!$M$25,FinaIndikatori!I9+1,"")</f>
        <v>5</v>
      </c>
      <c r="K9" s="16">
        <f>IF(J9&lt;UnosPodataka!$M$25,FinaIndikatori!J9+1,"")</f>
        <v>6</v>
      </c>
      <c r="L9" s="16">
        <f>IF(K9&lt;UnosPodataka!$M$25,FinaIndikatori!K9+1,"")</f>
        <v>7</v>
      </c>
      <c r="M9" s="16">
        <f>IF(L9&lt;UnosPodataka!$M$25,FinaIndikatori!L9+1,"")</f>
        <v>8</v>
      </c>
      <c r="N9" s="16">
        <f>IF(M9&lt;UnosPodataka!$M$25,FinaIndikatori!M9+1,"")</f>
        <v>9</v>
      </c>
      <c r="O9" s="16">
        <f>IF(N9&lt;UnosPodataka!$M$25,FinaIndikatori!N9+1,"")</f>
        <v>10</v>
      </c>
      <c r="P9" s="16">
        <f>IF(O9&lt;UnosPodataka!$M$25,FinaIndikatori!O9+1,"")</f>
        <v>11</v>
      </c>
      <c r="Q9" s="16">
        <f>IF(P9&lt;UnosPodataka!$M$25,FinaIndikatori!P9+1,"")</f>
        <v>12</v>
      </c>
      <c r="R9" s="16">
        <f>IF(Q9&lt;UnosPodataka!$M$25,FinaIndikatori!Q9+1,"")</f>
        <v>13</v>
      </c>
      <c r="S9" s="16">
        <f>IF(R9&lt;UnosPodataka!$M$25,FinaIndikatori!R9+1,"")</f>
        <v>14</v>
      </c>
      <c r="T9" s="16">
        <f>IF(S9&lt;UnosPodataka!$M$25,FinaIndikatori!S9+1,"")</f>
        <v>15</v>
      </c>
      <c r="U9" s="16">
        <f>IF(T9&lt;UnosPodataka!$M$25,FinaIndikatori!T9+1,"")</f>
        <v>16</v>
      </c>
      <c r="V9" s="16">
        <f>IF(U9&lt;UnosPodataka!$M$25,FinaIndikatori!U9+1,"")</f>
        <v>17</v>
      </c>
      <c r="W9" s="16">
        <f>IF(V9&lt;UnosPodataka!$M$25,FinaIndikatori!V9+1,"")</f>
        <v>18</v>
      </c>
      <c r="X9" s="16">
        <f>IF(W9&lt;UnosPodataka!$M$25,FinaIndikatori!W9+1,"")</f>
        <v>19</v>
      </c>
      <c r="Y9" s="16">
        <f>IF(X9&lt;UnosPodataka!$M$25,FinaIndikatori!X9+1,"")</f>
        <v>20</v>
      </c>
    </row>
    <row r="11" spans="1:25" x14ac:dyDescent="0.25">
      <c r="A11" s="69" t="s">
        <v>102</v>
      </c>
      <c r="B11" s="69"/>
      <c r="C11" s="69"/>
      <c r="D11" s="69"/>
      <c r="E11" s="3">
        <f>Loan</f>
        <v>148000</v>
      </c>
    </row>
    <row r="12" spans="1:25" x14ac:dyDescent="0.25">
      <c r="A12" s="69" t="s">
        <v>103</v>
      </c>
      <c r="B12" s="69"/>
      <c r="C12" s="69"/>
      <c r="D12" s="69"/>
      <c r="E12" s="3">
        <f>IF(Equity=0,Loan,Equity)</f>
        <v>50000</v>
      </c>
    </row>
    <row r="13" spans="1:25" x14ac:dyDescent="0.25">
      <c r="A13" s="69" t="s">
        <v>155</v>
      </c>
      <c r="B13" s="69"/>
      <c r="C13" s="69"/>
      <c r="D13" s="69"/>
      <c r="E13" s="3">
        <f>+UnosPodataka!F22</f>
        <v>45000</v>
      </c>
    </row>
    <row r="14" spans="1:25" x14ac:dyDescent="0.25">
      <c r="A14" s="69" t="s">
        <v>104</v>
      </c>
      <c r="B14" s="69"/>
      <c r="C14" s="69"/>
      <c r="D14" s="69"/>
      <c r="F14" s="3">
        <f t="shared" ref="F14:Y14" si="0">IF(F9&lt;&gt;"",HEAT,"")</f>
        <v>1100</v>
      </c>
      <c r="G14" s="3">
        <f t="shared" si="0"/>
        <v>1100</v>
      </c>
      <c r="H14" s="3">
        <f t="shared" si="0"/>
        <v>1100</v>
      </c>
      <c r="I14" s="3">
        <f t="shared" si="0"/>
        <v>1100</v>
      </c>
      <c r="J14" s="3">
        <f t="shared" si="0"/>
        <v>1100</v>
      </c>
      <c r="K14" s="3">
        <f t="shared" si="0"/>
        <v>1100</v>
      </c>
      <c r="L14" s="3">
        <f t="shared" si="0"/>
        <v>1100</v>
      </c>
      <c r="M14" s="3">
        <f t="shared" si="0"/>
        <v>1100</v>
      </c>
      <c r="N14" s="3">
        <f t="shared" si="0"/>
        <v>1100</v>
      </c>
      <c r="O14" s="3">
        <f t="shared" si="0"/>
        <v>1100</v>
      </c>
      <c r="P14" s="3">
        <f t="shared" si="0"/>
        <v>1100</v>
      </c>
      <c r="Q14" s="3">
        <f t="shared" si="0"/>
        <v>1100</v>
      </c>
      <c r="R14" s="3">
        <f t="shared" si="0"/>
        <v>1100</v>
      </c>
      <c r="S14" s="3">
        <f t="shared" si="0"/>
        <v>1100</v>
      </c>
      <c r="T14" s="3">
        <f t="shared" si="0"/>
        <v>1100</v>
      </c>
      <c r="U14" s="3">
        <f t="shared" si="0"/>
        <v>1100</v>
      </c>
      <c r="V14" s="3">
        <f t="shared" si="0"/>
        <v>1100</v>
      </c>
      <c r="W14" s="3">
        <f t="shared" si="0"/>
        <v>1100</v>
      </c>
      <c r="X14" s="3">
        <f t="shared" si="0"/>
        <v>1100</v>
      </c>
      <c r="Y14" s="3">
        <f t="shared" si="0"/>
        <v>1100</v>
      </c>
    </row>
    <row r="15" spans="1:25" x14ac:dyDescent="0.25">
      <c r="A15" s="69" t="s">
        <v>105</v>
      </c>
      <c r="B15" s="69"/>
      <c r="C15" s="69"/>
      <c r="D15" s="69"/>
      <c r="F15" s="3">
        <f t="shared" ref="F15:Y15" si="1">EPOW*WHOUR</f>
        <v>22</v>
      </c>
      <c r="G15" s="3">
        <f t="shared" si="1"/>
        <v>22</v>
      </c>
      <c r="H15" s="3">
        <f t="shared" si="1"/>
        <v>22</v>
      </c>
      <c r="I15" s="3">
        <f t="shared" si="1"/>
        <v>22</v>
      </c>
      <c r="J15" s="3">
        <f t="shared" si="1"/>
        <v>22</v>
      </c>
      <c r="K15" s="3">
        <f t="shared" si="1"/>
        <v>22</v>
      </c>
      <c r="L15" s="3">
        <f t="shared" si="1"/>
        <v>22</v>
      </c>
      <c r="M15" s="3">
        <f t="shared" si="1"/>
        <v>22</v>
      </c>
      <c r="N15" s="3">
        <f t="shared" si="1"/>
        <v>22</v>
      </c>
      <c r="O15" s="3">
        <f t="shared" si="1"/>
        <v>22</v>
      </c>
      <c r="P15" s="3">
        <f t="shared" si="1"/>
        <v>22</v>
      </c>
      <c r="Q15" s="3">
        <f t="shared" si="1"/>
        <v>22</v>
      </c>
      <c r="R15" s="3">
        <f t="shared" si="1"/>
        <v>22</v>
      </c>
      <c r="S15" s="3">
        <f t="shared" si="1"/>
        <v>22</v>
      </c>
      <c r="T15" s="3">
        <f t="shared" si="1"/>
        <v>22</v>
      </c>
      <c r="U15" s="3">
        <f t="shared" si="1"/>
        <v>22</v>
      </c>
      <c r="V15" s="3">
        <f t="shared" si="1"/>
        <v>22</v>
      </c>
      <c r="W15" s="3">
        <f t="shared" si="1"/>
        <v>22</v>
      </c>
      <c r="X15" s="3">
        <f t="shared" si="1"/>
        <v>22</v>
      </c>
      <c r="Y15" s="3">
        <f t="shared" si="1"/>
        <v>22</v>
      </c>
    </row>
    <row r="16" spans="1:25" x14ac:dyDescent="0.25">
      <c r="A16" s="70"/>
      <c r="B16" s="70"/>
      <c r="C16" s="70"/>
      <c r="D16" s="70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</row>
    <row r="17" spans="1:25" x14ac:dyDescent="0.25">
      <c r="A17" s="60" t="s">
        <v>157</v>
      </c>
      <c r="B17" s="60"/>
      <c r="C17" s="60"/>
      <c r="D17" s="60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69" t="s">
        <v>106</v>
      </c>
      <c r="B18" s="69"/>
      <c r="C18" s="69"/>
      <c r="D18" s="69"/>
      <c r="F18" s="3">
        <f t="shared" ref="F18:Y18" si="2">IF(F9&lt;&gt;"",F14*etagrid*HPrice/Kurs_EUR,"")</f>
        <v>75122.77470841007</v>
      </c>
      <c r="G18" s="3">
        <f t="shared" si="2"/>
        <v>75122.77470841007</v>
      </c>
      <c r="H18" s="3">
        <f t="shared" si="2"/>
        <v>75122.77470841007</v>
      </c>
      <c r="I18" s="3">
        <f t="shared" si="2"/>
        <v>75122.77470841007</v>
      </c>
      <c r="J18" s="3">
        <f t="shared" si="2"/>
        <v>75122.77470841007</v>
      </c>
      <c r="K18" s="3">
        <f t="shared" si="2"/>
        <v>75122.77470841007</v>
      </c>
      <c r="L18" s="3">
        <f t="shared" si="2"/>
        <v>75122.77470841007</v>
      </c>
      <c r="M18" s="3">
        <f t="shared" si="2"/>
        <v>75122.77470841007</v>
      </c>
      <c r="N18" s="3">
        <f t="shared" si="2"/>
        <v>75122.77470841007</v>
      </c>
      <c r="O18" s="3">
        <f t="shared" si="2"/>
        <v>75122.77470841007</v>
      </c>
      <c r="P18" s="3">
        <f t="shared" si="2"/>
        <v>75122.77470841007</v>
      </c>
      <c r="Q18" s="3">
        <f t="shared" si="2"/>
        <v>75122.77470841007</v>
      </c>
      <c r="R18" s="3">
        <f t="shared" si="2"/>
        <v>75122.77470841007</v>
      </c>
      <c r="S18" s="3">
        <f t="shared" si="2"/>
        <v>75122.77470841007</v>
      </c>
      <c r="T18" s="3">
        <f t="shared" si="2"/>
        <v>75122.77470841007</v>
      </c>
      <c r="U18" s="3">
        <f t="shared" si="2"/>
        <v>75122.77470841007</v>
      </c>
      <c r="V18" s="3">
        <f t="shared" si="2"/>
        <v>75122.77470841007</v>
      </c>
      <c r="W18" s="3">
        <f t="shared" si="2"/>
        <v>75122.77470841007</v>
      </c>
      <c r="X18" s="3">
        <f t="shared" si="2"/>
        <v>75122.77470841007</v>
      </c>
      <c r="Y18" s="3">
        <f t="shared" si="2"/>
        <v>75122.77470841007</v>
      </c>
    </row>
    <row r="19" spans="1:25" x14ac:dyDescent="0.25">
      <c r="A19" s="77" t="s">
        <v>107</v>
      </c>
      <c r="B19" s="77"/>
      <c r="C19" s="77"/>
      <c r="D19" s="77"/>
      <c r="E19" s="30"/>
      <c r="F19" s="29">
        <f t="shared" ref="F19:Y19" si="3">IF(F9&lt;&gt;"",F18,"")</f>
        <v>75122.77470841007</v>
      </c>
      <c r="G19" s="29">
        <f t="shared" si="3"/>
        <v>75122.77470841007</v>
      </c>
      <c r="H19" s="29">
        <f t="shared" si="3"/>
        <v>75122.77470841007</v>
      </c>
      <c r="I19" s="29">
        <f t="shared" si="3"/>
        <v>75122.77470841007</v>
      </c>
      <c r="J19" s="29">
        <f t="shared" si="3"/>
        <v>75122.77470841007</v>
      </c>
      <c r="K19" s="29">
        <f t="shared" si="3"/>
        <v>75122.77470841007</v>
      </c>
      <c r="L19" s="29">
        <f t="shared" si="3"/>
        <v>75122.77470841007</v>
      </c>
      <c r="M19" s="29">
        <f t="shared" si="3"/>
        <v>75122.77470841007</v>
      </c>
      <c r="N19" s="29">
        <f t="shared" si="3"/>
        <v>75122.77470841007</v>
      </c>
      <c r="O19" s="29">
        <f t="shared" si="3"/>
        <v>75122.77470841007</v>
      </c>
      <c r="P19" s="29">
        <f t="shared" si="3"/>
        <v>75122.77470841007</v>
      </c>
      <c r="Q19" s="29">
        <f t="shared" si="3"/>
        <v>75122.77470841007</v>
      </c>
      <c r="R19" s="29">
        <f t="shared" si="3"/>
        <v>75122.77470841007</v>
      </c>
      <c r="S19" s="29">
        <f t="shared" si="3"/>
        <v>75122.77470841007</v>
      </c>
      <c r="T19" s="29">
        <f t="shared" si="3"/>
        <v>75122.77470841007</v>
      </c>
      <c r="U19" s="29">
        <f t="shared" si="3"/>
        <v>75122.77470841007</v>
      </c>
      <c r="V19" s="29">
        <f t="shared" si="3"/>
        <v>75122.77470841007</v>
      </c>
      <c r="W19" s="29">
        <f t="shared" si="3"/>
        <v>75122.77470841007</v>
      </c>
      <c r="X19" s="29">
        <f t="shared" si="3"/>
        <v>75122.77470841007</v>
      </c>
      <c r="Y19" s="29">
        <f t="shared" si="3"/>
        <v>75122.77470841007</v>
      </c>
    </row>
    <row r="20" spans="1:25" x14ac:dyDescent="0.25">
      <c r="A20" s="70"/>
      <c r="B20" s="70"/>
      <c r="C20" s="70"/>
      <c r="D20" s="70"/>
    </row>
    <row r="21" spans="1:25" x14ac:dyDescent="0.25">
      <c r="A21" s="60" t="s">
        <v>158</v>
      </c>
      <c r="B21" s="60"/>
      <c r="C21" s="60"/>
      <c r="D21" s="60"/>
    </row>
    <row r="22" spans="1:25" x14ac:dyDescent="0.25">
      <c r="A22" s="69" t="s">
        <v>108</v>
      </c>
      <c r="B22" s="69"/>
      <c r="C22" s="69"/>
      <c r="D22" s="69"/>
      <c r="F22" s="3">
        <f>IF(F9&gt;UnosPodataka!$M$22,"",-VLOOKUP(F9,Anuiteti!$B$14:$E$33,3,FALSE))</f>
        <v>-17760</v>
      </c>
      <c r="G22" s="3">
        <f>IF(G9&gt;UnosPodataka!$M$22,"",-VLOOKUP(G9,Anuiteti!$B$14:$E$33,3,FALSE))</f>
        <v>-16316.061537151578</v>
      </c>
      <c r="H22" s="3">
        <f>IF(H9&gt;UnosPodataka!$M$22,"",-VLOOKUP(H9,Anuiteti!$B$14:$E$33,3,FALSE))</f>
        <v>-14698.850458761346</v>
      </c>
      <c r="I22" s="3">
        <f>IF(I9&gt;UnosPodataka!$M$22,"",-VLOOKUP(I9,Anuiteti!$B$14:$E$33,3,FALSE))</f>
        <v>-12887.574050964286</v>
      </c>
      <c r="J22" s="3">
        <f>IF(J9&gt;UnosPodataka!$M$22,"",-VLOOKUP(J9,Anuiteti!$B$14:$E$33,3,FALSE))</f>
        <v>-10858.944474231579</v>
      </c>
      <c r="K22" s="3">
        <f>IF(K9&gt;UnosPodataka!$M$22,"",-VLOOKUP(K9,Anuiteti!$B$14:$E$33,3,FALSE))</f>
        <v>-8586.8793482909477</v>
      </c>
      <c r="L22" s="3">
        <f>IF(L9&gt;UnosPodataka!$M$22,"",-VLOOKUP(L9,Anuiteti!$B$14:$E$33,3,FALSE))</f>
        <v>-6042.1664072374424</v>
      </c>
      <c r="M22" s="3">
        <f>IF(M9&gt;UnosPodataka!$M$22,"",-VLOOKUP(M9,Anuiteti!$B$14:$E$33,3,FALSE))</f>
        <v>-3192.0879132575142</v>
      </c>
      <c r="N22" s="3" t="str">
        <f>IF(N9&gt;UnosPodataka!$M$22,"",-VLOOKUP(N9,Anuiteti!$B$14:$E$33,3,FALSE))</f>
        <v/>
      </c>
      <c r="O22" s="3" t="str">
        <f>IF(O9&gt;UnosPodataka!$M$22,"",-VLOOKUP(O9,Anuiteti!$B$14:$E$33,3,FALSE))</f>
        <v/>
      </c>
      <c r="P22" s="3" t="str">
        <f>IF(P9&gt;UnosPodataka!$M$22,"",-VLOOKUP(P9,Anuiteti!$B$14:$E$33,3,FALSE))</f>
        <v/>
      </c>
      <c r="Q22" s="3" t="str">
        <f>IF(Q9&gt;UnosPodataka!$M$22,"",-VLOOKUP(Q9,Anuiteti!$B$14:$E$33,3,FALSE))</f>
        <v/>
      </c>
      <c r="R22" s="3" t="str">
        <f>IF(R9&gt;UnosPodataka!$M$22,"",-VLOOKUP(R9,Anuiteti!$B$14:$E$33,3,FALSE))</f>
        <v/>
      </c>
      <c r="S22" s="3" t="str">
        <f>IF(S9&gt;UnosPodataka!$M$22,"",-VLOOKUP(S9,Anuiteti!$B$14:$E$33,3,FALSE))</f>
        <v/>
      </c>
      <c r="T22" s="3" t="str">
        <f>IF(T9&gt;UnosPodataka!$M$22,"",-VLOOKUP(T9,Anuiteti!$B$14:$E$33,3,FALSE))</f>
        <v/>
      </c>
      <c r="U22" s="3" t="str">
        <f>IF(U9&gt;UnosPodataka!$M$22,"",-VLOOKUP(U9,Anuiteti!$B$14:$E$33,3,FALSE))</f>
        <v/>
      </c>
      <c r="V22" s="3" t="str">
        <f>IF(V9&gt;UnosPodataka!$M$22,"",-VLOOKUP(V9,Anuiteti!$B$14:$E$33,3,FALSE))</f>
        <v/>
      </c>
      <c r="W22" s="3" t="str">
        <f>IF(W9&gt;UnosPodataka!$M$22,"",-VLOOKUP(W9,Anuiteti!$B$14:$E$33,3,FALSE))</f>
        <v/>
      </c>
      <c r="X22" s="3" t="str">
        <f>IF(X9&gt;UnosPodataka!$M$22,"",-VLOOKUP(X9,Anuiteti!$B$14:$E$33,3,FALSE))</f>
        <v/>
      </c>
      <c r="Y22" s="3" t="str">
        <f>IF(Y9&gt;UnosPodataka!$M$22,"",-VLOOKUP(Y9,Anuiteti!$B$14:$E$33,3,FALSE))</f>
        <v/>
      </c>
    </row>
    <row r="23" spans="1:25" x14ac:dyDescent="0.25">
      <c r="A23" s="21" t="s">
        <v>156</v>
      </c>
      <c r="B23" s="21"/>
      <c r="C23" s="21"/>
      <c r="D23" s="21"/>
      <c r="F23" s="3">
        <f>IF(F22="",0,IF(F9&gt;UnosPodataka!$M$25,"",VLOOKUP(F9,Anuiteti!$B$14:$E$32,4,FALSE)+VLOOKUP(F9,Anuiteti!$B$13:$E$32,3,FALSE)))</f>
        <v>-12032.820523736842</v>
      </c>
      <c r="G23" s="3">
        <f>IF(G22="",0,IF(G9&gt;UnosPodataka!$M$25,"",VLOOKUP(G9,Anuiteti!$B$14:$E$32,4,FALSE)+VLOOKUP(G9,Anuiteti!$B$13:$E$32,3,FALSE)))</f>
        <v>-13476.758986585264</v>
      </c>
      <c r="H23" s="3">
        <f>IF(H22="",0,IF(H9&gt;UnosPodataka!$M$25,"",VLOOKUP(H9,Anuiteti!$B$14:$E$32,4,FALSE)+VLOOKUP(H9,Anuiteti!$B$13:$E$32,3,FALSE)))</f>
        <v>-15093.970064975496</v>
      </c>
      <c r="I23" s="3">
        <f>IF(I22="",0,IF(I9&gt;UnosPodataka!$M$25,"",VLOOKUP(I9,Anuiteti!$B$14:$E$32,4,FALSE)+VLOOKUP(I9,Anuiteti!$B$13:$E$32,3,FALSE)))</f>
        <v>-16905.246472772556</v>
      </c>
      <c r="J23" s="3">
        <f>IF(J22="",0,IF(J9&gt;UnosPodataka!$M$25,"",VLOOKUP(J9,Anuiteti!$B$14:$E$32,4,FALSE)+VLOOKUP(J9,Anuiteti!$B$13:$E$32,3,FALSE)))</f>
        <v>-18933.876049505263</v>
      </c>
      <c r="K23" s="3">
        <f>IF(K22="",0,IF(K9&gt;UnosPodataka!$M$25,"",VLOOKUP(K9,Anuiteti!$B$14:$E$32,4,FALSE)+VLOOKUP(K9,Anuiteti!$B$13:$E$32,3,FALSE)))</f>
        <v>-21205.941175445892</v>
      </c>
      <c r="L23" s="3">
        <f>IF(L22="",0,IF(L9&gt;UnosPodataka!$M$25,"",VLOOKUP(L9,Anuiteti!$B$14:$E$32,4,FALSE)+VLOOKUP(L9,Anuiteti!$B$13:$E$32,3,FALSE)))</f>
        <v>-23750.654116499398</v>
      </c>
      <c r="M23" s="3">
        <f>IF(M22="",0,IF(M9&gt;UnosPodataka!$M$25,"",VLOOKUP(M9,Anuiteti!$B$14:$E$32,4,FALSE)+VLOOKUP(M9,Anuiteti!$B$13:$E$32,3,FALSE)))</f>
        <v>-26600.732610479328</v>
      </c>
      <c r="N23" s="3">
        <f>IF(N22="",0,IF(N9&gt;UnosPodataka!$M$25,"",VLOOKUP(N9,Anuiteti!$B$14:$E$32,4,FALSE)+VLOOKUP(N9,Anuiteti!$B$13:$E$32,3,FALSE)))</f>
        <v>0</v>
      </c>
      <c r="O23" s="3">
        <f>IF(O22="",0,IF(O9&gt;UnosPodataka!$M$25,"",VLOOKUP(O9,Anuiteti!$B$14:$E$32,4,FALSE)+VLOOKUP(O9,Anuiteti!$B$13:$E$32,3,FALSE)))</f>
        <v>0</v>
      </c>
      <c r="P23" s="3">
        <f>IF(P22="",0,IF(P9&gt;UnosPodataka!$M$25,"",VLOOKUP(P9,Anuiteti!$B$14:$E$32,4,FALSE)+VLOOKUP(P9,Anuiteti!$B$13:$E$32,3,FALSE)))</f>
        <v>0</v>
      </c>
      <c r="Q23" s="3">
        <f>IF(Q22="",0,IF(Q9&gt;UnosPodataka!$M$25,"",VLOOKUP(Q9,Anuiteti!$B$14:$E$32,4,FALSE)+VLOOKUP(Q9,Anuiteti!$B$13:$E$32,3,FALSE)))</f>
        <v>0</v>
      </c>
      <c r="R23" s="3">
        <f>IF(R22="",0,IF(R9&gt;UnosPodataka!$M$25,"",VLOOKUP(R9,Anuiteti!$B$14:$E$32,4,FALSE)+VLOOKUP(R9,Anuiteti!$B$13:$E$32,3,FALSE)))</f>
        <v>0</v>
      </c>
      <c r="S23" s="3">
        <f>IF(S22="",0,IF(S9&gt;UnosPodataka!$M$25,"",VLOOKUP(S9,Anuiteti!$B$14:$E$32,4,FALSE)+VLOOKUP(S9,Anuiteti!$B$13:$E$32,3,FALSE)))</f>
        <v>0</v>
      </c>
      <c r="T23" s="3">
        <f>IF(T22="",0,IF(T9&gt;UnosPodataka!$M$25,"",VLOOKUP(T9,Anuiteti!$B$14:$E$32,4,FALSE)+VLOOKUP(T9,Anuiteti!$B$13:$E$32,3,FALSE)))</f>
        <v>0</v>
      </c>
      <c r="U23" s="3">
        <f>IF(U22="",0,IF(U9&gt;UnosPodataka!$M$25,"",VLOOKUP(U9,Anuiteti!$B$14:$E$32,4,FALSE)+VLOOKUP(U9,Anuiteti!$B$13:$E$32,3,FALSE)))</f>
        <v>0</v>
      </c>
      <c r="V23" s="3">
        <f>IF(V22="",0,IF(V9&gt;UnosPodataka!$M$25,"",VLOOKUP(V9,Anuiteti!$B$14:$E$32,4,FALSE)+VLOOKUP(V9,Anuiteti!$B$13:$E$32,3,FALSE)))</f>
        <v>0</v>
      </c>
      <c r="W23" s="3">
        <f>IF(W22="",0,IF(W9&gt;UnosPodataka!$M$25,"",VLOOKUP(W9,Anuiteti!$B$14:$E$32,4,FALSE)+VLOOKUP(W9,Anuiteti!$B$13:$E$32,3,FALSE)))</f>
        <v>0</v>
      </c>
      <c r="X23" s="3">
        <f>IF(X22="",0,IF(X9&gt;UnosPodataka!$M$25,"",VLOOKUP(X9,Anuiteti!$B$14:$E$32,4,FALSE)+VLOOKUP(X9,Anuiteti!$B$13:$E$32,3,FALSE)))</f>
        <v>0</v>
      </c>
      <c r="Y23" s="3">
        <f>IF(Y22="",0,IF(Y9&gt;UnosPodataka!$M$25,"",VLOOKUP(Y9,Anuiteti!$B$14:$E$32,4,FALSE)+VLOOKUP(Y9,Anuiteti!$B$13:$E$32,3,FALSE)))</f>
        <v>0</v>
      </c>
    </row>
    <row r="24" spans="1:25" x14ac:dyDescent="0.25">
      <c r="A24" s="69" t="s">
        <v>109</v>
      </c>
      <c r="B24" s="69"/>
      <c r="C24" s="69"/>
      <c r="D24" s="69"/>
      <c r="F24" s="3">
        <f>IF(F9&lt;&gt;"",-UnosPodataka!$M$9,"")</f>
        <v>-2000</v>
      </c>
      <c r="G24" s="3">
        <f>IF(G9&lt;&gt;"",-UnosPodataka!$M$9,"")</f>
        <v>-2000</v>
      </c>
      <c r="H24" s="3">
        <f>IF(H9&lt;&gt;"",-UnosPodataka!$M$9,"")</f>
        <v>-2000</v>
      </c>
      <c r="I24" s="3">
        <f>IF(I9&lt;&gt;"",-UnosPodataka!$M$9,"")</f>
        <v>-2000</v>
      </c>
      <c r="J24" s="3">
        <f>IF(J9&lt;&gt;"",-UnosPodataka!$M$9,"")</f>
        <v>-2000</v>
      </c>
      <c r="K24" s="3">
        <f>IF(K9&lt;&gt;"",-UnosPodataka!$M$9,"")</f>
        <v>-2000</v>
      </c>
      <c r="L24" s="3">
        <f>IF(L9&lt;&gt;"",-UnosPodataka!$M$9,"")</f>
        <v>-2000</v>
      </c>
      <c r="M24" s="3">
        <f>IF(M9&lt;&gt;"",-UnosPodataka!$M$9,"")</f>
        <v>-2000</v>
      </c>
      <c r="N24" s="3">
        <f>IF(N9&lt;&gt;"",-UnosPodataka!$M$9,"")</f>
        <v>-2000</v>
      </c>
      <c r="O24" s="3">
        <f>IF(O9&lt;&gt;"",-UnosPodataka!$M$9,"")</f>
        <v>-2000</v>
      </c>
      <c r="P24" s="3">
        <f>IF(P9&lt;&gt;"",-UnosPodataka!$M$9,"")</f>
        <v>-2000</v>
      </c>
      <c r="Q24" s="3">
        <f>IF(Q9&lt;&gt;"",-UnosPodataka!$M$9,"")</f>
        <v>-2000</v>
      </c>
      <c r="R24" s="3">
        <f>IF(R9&lt;&gt;"",-UnosPodataka!$M$9,"")</f>
        <v>-2000</v>
      </c>
      <c r="S24" s="3">
        <f>IF(S9&lt;&gt;"",-UnosPodataka!$M$9,"")</f>
        <v>-2000</v>
      </c>
      <c r="T24" s="3">
        <f>IF(T9&lt;&gt;"",-UnosPodataka!$M$9,"")</f>
        <v>-2000</v>
      </c>
      <c r="U24" s="3">
        <f>IF(U9&lt;&gt;"",-UnosPodataka!$M$9,"")</f>
        <v>-2000</v>
      </c>
      <c r="V24" s="3">
        <f>IF(V9&lt;&gt;"",-UnosPodataka!$M$9,"")</f>
        <v>-2000</v>
      </c>
      <c r="W24" s="3">
        <f>IF(W9&lt;&gt;"",-UnosPodataka!$M$9,"")</f>
        <v>-2000</v>
      </c>
      <c r="X24" s="3">
        <f>IF(X9&lt;&gt;"",-UnosPodataka!$M$9,"")</f>
        <v>-2000</v>
      </c>
      <c r="Y24" s="3">
        <f>IF(Y9&lt;&gt;"",-UnosPodataka!$M$9,"")</f>
        <v>-2000</v>
      </c>
    </row>
    <row r="25" spans="1:25" x14ac:dyDescent="0.25">
      <c r="A25" s="69" t="s">
        <v>110</v>
      </c>
      <c r="B25" s="69"/>
      <c r="C25" s="69"/>
      <c r="D25" s="69"/>
      <c r="F25" s="3">
        <f>IF(F9&lt;&gt;"",-Investment*UnosPodataka!$M$11,"")</f>
        <v>-7290</v>
      </c>
      <c r="G25" s="3">
        <f>IF(G9&lt;&gt;"",-Investment*UnosPodataka!$M$11,"")</f>
        <v>-7290</v>
      </c>
      <c r="H25" s="3">
        <f>IF(H9&lt;&gt;"",-Investment*UnosPodataka!$M$11,"")</f>
        <v>-7290</v>
      </c>
      <c r="I25" s="3">
        <f>IF(I9&lt;&gt;"",-Investment*UnosPodataka!$M$11,"")</f>
        <v>-7290</v>
      </c>
      <c r="J25" s="3">
        <f>IF(J9&lt;&gt;"",-Investment*UnosPodataka!$M$11,"")</f>
        <v>-7290</v>
      </c>
      <c r="K25" s="3">
        <f>IF(K9&lt;&gt;"",-Investment*UnosPodataka!$M$11,"")</f>
        <v>-7290</v>
      </c>
      <c r="L25" s="3">
        <f>IF(L9&lt;&gt;"",-Investment*UnosPodataka!$M$11,"")</f>
        <v>-7290</v>
      </c>
      <c r="M25" s="3">
        <f>IF(M9&lt;&gt;"",-Investment*UnosPodataka!$M$11,"")</f>
        <v>-7290</v>
      </c>
      <c r="N25" s="3">
        <f>IF(N9&lt;&gt;"",-Investment*UnosPodataka!$M$11,"")</f>
        <v>-7290</v>
      </c>
      <c r="O25" s="3">
        <f>IF(O9&lt;&gt;"",-Investment*UnosPodataka!$M$11,"")</f>
        <v>-7290</v>
      </c>
      <c r="P25" s="3">
        <f>IF(P9&lt;&gt;"",-Investment*UnosPodataka!$M$11,"")</f>
        <v>-7290</v>
      </c>
      <c r="Q25" s="3">
        <f>IF(Q9&lt;&gt;"",-Investment*UnosPodataka!$M$11,"")</f>
        <v>-7290</v>
      </c>
      <c r="R25" s="3">
        <f>IF(R9&lt;&gt;"",-Investment*UnosPodataka!$M$11,"")</f>
        <v>-7290</v>
      </c>
      <c r="S25" s="3">
        <f>IF(S9&lt;&gt;"",-Investment*UnosPodataka!$M$11,"")</f>
        <v>-7290</v>
      </c>
      <c r="T25" s="3">
        <f>IF(T9&lt;&gt;"",-Investment*UnosPodataka!$M$11,"")</f>
        <v>-7290</v>
      </c>
      <c r="U25" s="3">
        <f>IF(U9&lt;&gt;"",-Investment*UnosPodataka!$M$11,"")</f>
        <v>-7290</v>
      </c>
      <c r="V25" s="3">
        <f>IF(V9&lt;&gt;"",-Investment*UnosPodataka!$M$11,"")</f>
        <v>-7290</v>
      </c>
      <c r="W25" s="3">
        <f>IF(W9&lt;&gt;"",-Investment*UnosPodataka!$M$11,"")</f>
        <v>-7290</v>
      </c>
      <c r="X25" s="3">
        <f>IF(X9&lt;&gt;"",-Investment*UnosPodataka!$M$11,"")</f>
        <v>-7290</v>
      </c>
      <c r="Y25" s="3">
        <f>IF(Y9&lt;&gt;"",-Investment*UnosPodataka!$M$11,"")</f>
        <v>-7290</v>
      </c>
    </row>
    <row r="26" spans="1:25" x14ac:dyDescent="0.25">
      <c r="A26" s="69" t="s">
        <v>111</v>
      </c>
      <c r="B26" s="69"/>
      <c r="C26" s="69"/>
      <c r="D26" s="69"/>
      <c r="F26" s="3">
        <f t="shared" ref="F26:Y26" si="4">IF(F9&lt;&gt;"",-BMPrice*Biomass/Kurs_EUR,"")</f>
        <v>-25850.171318609075</v>
      </c>
      <c r="G26" s="3">
        <f t="shared" si="4"/>
        <v>-25850.171318609075</v>
      </c>
      <c r="H26" s="3">
        <f t="shared" si="4"/>
        <v>-25850.171318609075</v>
      </c>
      <c r="I26" s="3">
        <f t="shared" si="4"/>
        <v>-25850.171318609075</v>
      </c>
      <c r="J26" s="3">
        <f t="shared" si="4"/>
        <v>-25850.171318609075</v>
      </c>
      <c r="K26" s="3">
        <f t="shared" si="4"/>
        <v>-25850.171318609075</v>
      </c>
      <c r="L26" s="3">
        <f t="shared" si="4"/>
        <v>-25850.171318609075</v>
      </c>
      <c r="M26" s="3">
        <f t="shared" si="4"/>
        <v>-25850.171318609075</v>
      </c>
      <c r="N26" s="3">
        <f t="shared" si="4"/>
        <v>-25850.171318609075</v>
      </c>
      <c r="O26" s="3">
        <f t="shared" si="4"/>
        <v>-25850.171318609075</v>
      </c>
      <c r="P26" s="3">
        <f t="shared" si="4"/>
        <v>-25850.171318609075</v>
      </c>
      <c r="Q26" s="3">
        <f t="shared" si="4"/>
        <v>-25850.171318609075</v>
      </c>
      <c r="R26" s="3">
        <f t="shared" si="4"/>
        <v>-25850.171318609075</v>
      </c>
      <c r="S26" s="3">
        <f t="shared" si="4"/>
        <v>-25850.171318609075</v>
      </c>
      <c r="T26" s="3">
        <f t="shared" si="4"/>
        <v>-25850.171318609075</v>
      </c>
      <c r="U26" s="3">
        <f t="shared" si="4"/>
        <v>-25850.171318609075</v>
      </c>
      <c r="V26" s="3">
        <f t="shared" si="4"/>
        <v>-25850.171318609075</v>
      </c>
      <c r="W26" s="3">
        <f t="shared" si="4"/>
        <v>-25850.171318609075</v>
      </c>
      <c r="X26" s="3">
        <f t="shared" si="4"/>
        <v>-25850.171318609075</v>
      </c>
      <c r="Y26" s="3">
        <f t="shared" si="4"/>
        <v>-25850.171318609075</v>
      </c>
    </row>
    <row r="27" spans="1:25" x14ac:dyDescent="0.25">
      <c r="A27" s="69" t="s">
        <v>112</v>
      </c>
      <c r="B27" s="69"/>
      <c r="C27" s="69"/>
      <c r="D27" s="69"/>
      <c r="F27" s="3">
        <f t="shared" ref="F27:Y27" si="5">IF(F9&lt;&gt;"",-EPOW*WHOUR*EPrice/Kurs_EUR,"")</f>
        <v>-2265.8754518791352</v>
      </c>
      <c r="G27" s="3">
        <f t="shared" si="5"/>
        <v>-2265.8754518791352</v>
      </c>
      <c r="H27" s="3">
        <f t="shared" si="5"/>
        <v>-2265.8754518791352</v>
      </c>
      <c r="I27" s="3">
        <f t="shared" si="5"/>
        <v>-2265.8754518791352</v>
      </c>
      <c r="J27" s="3">
        <f t="shared" si="5"/>
        <v>-2265.8754518791352</v>
      </c>
      <c r="K27" s="3">
        <f t="shared" si="5"/>
        <v>-2265.8754518791352</v>
      </c>
      <c r="L27" s="3">
        <f t="shared" si="5"/>
        <v>-2265.8754518791352</v>
      </c>
      <c r="M27" s="3">
        <f t="shared" si="5"/>
        <v>-2265.8754518791352</v>
      </c>
      <c r="N27" s="3">
        <f t="shared" si="5"/>
        <v>-2265.8754518791352</v>
      </c>
      <c r="O27" s="3">
        <f t="shared" si="5"/>
        <v>-2265.8754518791352</v>
      </c>
      <c r="P27" s="3">
        <f t="shared" si="5"/>
        <v>-2265.8754518791352</v>
      </c>
      <c r="Q27" s="3">
        <f t="shared" si="5"/>
        <v>-2265.8754518791352</v>
      </c>
      <c r="R27" s="3">
        <f t="shared" si="5"/>
        <v>-2265.8754518791352</v>
      </c>
      <c r="S27" s="3">
        <f t="shared" si="5"/>
        <v>-2265.8754518791352</v>
      </c>
      <c r="T27" s="3">
        <f t="shared" si="5"/>
        <v>-2265.8754518791352</v>
      </c>
      <c r="U27" s="3">
        <f t="shared" si="5"/>
        <v>-2265.8754518791352</v>
      </c>
      <c r="V27" s="3">
        <f t="shared" si="5"/>
        <v>-2265.8754518791352</v>
      </c>
      <c r="W27" s="3">
        <f t="shared" si="5"/>
        <v>-2265.8754518791352</v>
      </c>
      <c r="X27" s="3">
        <f t="shared" si="5"/>
        <v>-2265.8754518791352</v>
      </c>
      <c r="Y27" s="3">
        <f t="shared" si="5"/>
        <v>-2265.8754518791352</v>
      </c>
    </row>
    <row r="28" spans="1:25" x14ac:dyDescent="0.25">
      <c r="A28" s="69" t="s">
        <v>136</v>
      </c>
      <c r="B28" s="69"/>
      <c r="C28" s="69"/>
      <c r="D28" s="69"/>
      <c r="F28" s="3">
        <f>IF(F9&lt;&gt;"",-0.05*Biomass*TrosakEnergije!$J$20/Kurs_EUR,"")</f>
        <v>-136.05353325583724</v>
      </c>
      <c r="G28" s="3">
        <f>IF(G9&lt;&gt;"",-0.05*Biomass*TrosakEnergije!$J$20/Kurs_EUR,"")</f>
        <v>-136.05353325583724</v>
      </c>
      <c r="H28" s="3">
        <f>IF(H9&lt;&gt;"",-0.05*Biomass*TrosakEnergije!$J$20/Kurs_EUR,"")</f>
        <v>-136.05353325583724</v>
      </c>
      <c r="I28" s="3">
        <f>IF(I9&lt;&gt;"",-0.05*Biomass*TrosakEnergije!$J$20/Kurs_EUR,"")</f>
        <v>-136.05353325583724</v>
      </c>
      <c r="J28" s="3">
        <f>IF(J9&lt;&gt;"",-0.05*Biomass*TrosakEnergije!$J$20/Kurs_EUR,"")</f>
        <v>-136.05353325583724</v>
      </c>
      <c r="K28" s="3">
        <f>IF(K9&lt;&gt;"",-0.05*Biomass*TrosakEnergije!$J$20/Kurs_EUR,"")</f>
        <v>-136.05353325583724</v>
      </c>
      <c r="L28" s="3">
        <f>IF(L9&lt;&gt;"",-0.05*Biomass*TrosakEnergije!$J$20/Kurs_EUR,"")</f>
        <v>-136.05353325583724</v>
      </c>
      <c r="M28" s="3">
        <f>IF(M9&lt;&gt;"",-0.05*Biomass*TrosakEnergije!$J$20/Kurs_EUR,"")</f>
        <v>-136.05353325583724</v>
      </c>
      <c r="N28" s="3">
        <f>IF(N9&lt;&gt;"",-0.05*Biomass*TrosakEnergije!$J$20/Kurs_EUR,"")</f>
        <v>-136.05353325583724</v>
      </c>
      <c r="O28" s="3">
        <f>IF(O9&lt;&gt;"",-0.05*Biomass*TrosakEnergije!$J$20/Kurs_EUR,"")</f>
        <v>-136.05353325583724</v>
      </c>
      <c r="P28" s="3">
        <f>IF(P9&lt;&gt;"",-0.05*Biomass*TrosakEnergije!$J$20/Kurs_EUR,"")</f>
        <v>-136.05353325583724</v>
      </c>
      <c r="Q28" s="3">
        <f>IF(Q9&lt;&gt;"",-0.05*Biomass*TrosakEnergije!$J$20/Kurs_EUR,"")</f>
        <v>-136.05353325583724</v>
      </c>
      <c r="R28" s="3">
        <f>IF(R9&lt;&gt;"",-0.05*Biomass*TrosakEnergije!$J$20/Kurs_EUR,"")</f>
        <v>-136.05353325583724</v>
      </c>
      <c r="S28" s="3">
        <f>IF(S9&lt;&gt;"",-0.05*Biomass*TrosakEnergije!$J$20/Kurs_EUR,"")</f>
        <v>-136.05353325583724</v>
      </c>
      <c r="T28" s="3">
        <f>IF(T9&lt;&gt;"",-0.05*Biomass*TrosakEnergije!$J$20/Kurs_EUR,"")</f>
        <v>-136.05353325583724</v>
      </c>
      <c r="U28" s="3">
        <f>IF(U9&lt;&gt;"",-0.05*Biomass*TrosakEnergije!$J$20/Kurs_EUR,"")</f>
        <v>-136.05353325583724</v>
      </c>
      <c r="V28" s="3">
        <f>IF(V9&lt;&gt;"",-0.05*Biomass*TrosakEnergije!$J$20/Kurs_EUR,"")</f>
        <v>-136.05353325583724</v>
      </c>
      <c r="W28" s="3">
        <f>IF(W9&lt;&gt;"",-0.05*Biomass*TrosakEnergije!$J$20/Kurs_EUR,"")</f>
        <v>-136.05353325583724</v>
      </c>
      <c r="X28" s="3">
        <f>IF(X9&lt;&gt;"",-0.05*Biomass*TrosakEnergije!$J$20/Kurs_EUR,"")</f>
        <v>-136.05353325583724</v>
      </c>
      <c r="Y28" s="3">
        <f>IF(Y9&lt;&gt;"",-0.05*Biomass*TrosakEnergije!$J$20/Kurs_EUR,"")</f>
        <v>-136.05353325583724</v>
      </c>
    </row>
    <row r="29" spans="1:25" x14ac:dyDescent="0.25">
      <c r="A29" s="69" t="s">
        <v>159</v>
      </c>
      <c r="B29" s="69"/>
      <c r="C29" s="69"/>
      <c r="D29" s="69"/>
      <c r="F29" s="3">
        <f>IF(F9&lt;&gt;"",-Investment*UnosPodataka!$M$12,"")</f>
        <v>-12150</v>
      </c>
      <c r="G29" s="3">
        <f>IF(G9&lt;&gt;"",-Investment*UnosPodataka!$M$12,"")</f>
        <v>-12150</v>
      </c>
      <c r="H29" s="3">
        <f>IF(H9&lt;&gt;"",-Investment*UnosPodataka!$M$12,"")</f>
        <v>-12150</v>
      </c>
      <c r="I29" s="3">
        <f>IF(I9&lt;&gt;"",-Investment*UnosPodataka!$M$12,"")</f>
        <v>-12150</v>
      </c>
      <c r="J29" s="3">
        <f>IF(J9&lt;&gt;"",-Investment*UnosPodataka!$M$12,"")</f>
        <v>-12150</v>
      </c>
      <c r="K29" s="3">
        <f>IF(K9&lt;&gt;"",-Investment*UnosPodataka!$M$12,"")</f>
        <v>-12150</v>
      </c>
      <c r="L29" s="3">
        <f>IF(L9&lt;&gt;"",-Investment*UnosPodataka!$M$12,"")</f>
        <v>-12150</v>
      </c>
      <c r="M29" s="3">
        <f>IF(M9&lt;&gt;"",-Investment*UnosPodataka!$M$12,"")</f>
        <v>-12150</v>
      </c>
      <c r="N29" s="3">
        <f>IF(N9&lt;&gt;"",-Investment*UnosPodataka!$M$12,"")</f>
        <v>-12150</v>
      </c>
      <c r="O29" s="3">
        <f>IF(O9&lt;&gt;"",-Investment*UnosPodataka!$M$12,"")</f>
        <v>-12150</v>
      </c>
      <c r="P29" s="3">
        <f>IF(P9&lt;&gt;"",-Investment*UnosPodataka!$M$12,"")</f>
        <v>-12150</v>
      </c>
      <c r="Q29" s="3">
        <f>IF(Q9&lt;&gt;"",-Investment*UnosPodataka!$M$12,"")</f>
        <v>-12150</v>
      </c>
      <c r="R29" s="3">
        <f>IF(R9&lt;&gt;"",-Investment*UnosPodataka!$M$12,"")</f>
        <v>-12150</v>
      </c>
      <c r="S29" s="3">
        <f>IF(S9&lt;&gt;"",-Investment*UnosPodataka!$M$12,"")</f>
        <v>-12150</v>
      </c>
      <c r="T29" s="3">
        <f>IF(T9&lt;&gt;"",-Investment*UnosPodataka!$M$12,"")</f>
        <v>-12150</v>
      </c>
      <c r="U29" s="3">
        <f>IF(U9&lt;&gt;"",-Investment*UnosPodataka!$M$12,"")</f>
        <v>-12150</v>
      </c>
      <c r="V29" s="3">
        <f>IF(V9&lt;&gt;"",-Investment*UnosPodataka!$M$12,"")</f>
        <v>-12150</v>
      </c>
      <c r="W29" s="3">
        <f>IF(W9&lt;&gt;"",-Investment*UnosPodataka!$M$12,"")</f>
        <v>-12150</v>
      </c>
      <c r="X29" s="3">
        <f>IF(X9&lt;&gt;"",-Investment*UnosPodataka!$M$12,"")</f>
        <v>-12150</v>
      </c>
      <c r="Y29" s="3">
        <f>IF(Y9&lt;&gt;"",-Investment*UnosPodataka!$M$12,"")</f>
        <v>-12150</v>
      </c>
    </row>
    <row r="30" spans="1:25" x14ac:dyDescent="0.25">
      <c r="A30" s="69" t="s">
        <v>141</v>
      </c>
      <c r="B30" s="69"/>
      <c r="C30" s="69"/>
      <c r="D30" s="69"/>
      <c r="F30" s="3">
        <f>IF(F9&lt;&gt;"",-(1-UnosPodataka!$M$10)*FinaIndikatori!F18,"")</f>
        <v>0</v>
      </c>
      <c r="G30" s="3">
        <f>IF(G9&lt;&gt;"",-(1-UnosPodataka!$M$10)*FinaIndikatori!G18,"")</f>
        <v>0</v>
      </c>
      <c r="H30" s="3">
        <f>IF(H9&lt;&gt;"",-(1-UnosPodataka!$M$10)*FinaIndikatori!H18,"")</f>
        <v>0</v>
      </c>
      <c r="I30" s="3">
        <f>IF(I9&lt;&gt;"",-(1-UnosPodataka!$M$10)*FinaIndikatori!I18,"")</f>
        <v>0</v>
      </c>
      <c r="J30" s="3">
        <f>IF(J9&lt;&gt;"",-(1-UnosPodataka!$M$10)*FinaIndikatori!J18,"")</f>
        <v>0</v>
      </c>
      <c r="K30" s="3">
        <f>IF(K9&lt;&gt;"",-(1-UnosPodataka!$M$10)*FinaIndikatori!K18,"")</f>
        <v>0</v>
      </c>
      <c r="L30" s="3">
        <f>IF(L9&lt;&gt;"",-(1-UnosPodataka!$M$10)*FinaIndikatori!L18,"")</f>
        <v>0</v>
      </c>
      <c r="M30" s="3">
        <f>IF(M9&lt;&gt;"",-(1-UnosPodataka!$M$10)*FinaIndikatori!M18,"")</f>
        <v>0</v>
      </c>
      <c r="N30" s="3">
        <f>IF(N9&lt;&gt;"",-(1-UnosPodataka!$M$10)*FinaIndikatori!N18,"")</f>
        <v>0</v>
      </c>
      <c r="O30" s="3">
        <f>IF(O9&lt;&gt;"",-(1-UnosPodataka!$M$10)*FinaIndikatori!O18,"")</f>
        <v>0</v>
      </c>
      <c r="P30" s="3">
        <f>IF(P9&lt;&gt;"",-(1-UnosPodataka!$M$10)*FinaIndikatori!P18,"")</f>
        <v>0</v>
      </c>
      <c r="Q30" s="3">
        <f>IF(Q9&lt;&gt;"",-(1-UnosPodataka!$M$10)*FinaIndikatori!Q18,"")</f>
        <v>0</v>
      </c>
      <c r="R30" s="3">
        <f>IF(R9&lt;&gt;"",-(1-UnosPodataka!$M$10)*FinaIndikatori!R18,"")</f>
        <v>0</v>
      </c>
      <c r="S30" s="3">
        <f>IF(S9&lt;&gt;"",-(1-UnosPodataka!$M$10)*FinaIndikatori!S18,"")</f>
        <v>0</v>
      </c>
      <c r="T30" s="3">
        <f>IF(T9&lt;&gt;"",-(1-UnosPodataka!$M$10)*FinaIndikatori!T18,"")</f>
        <v>0</v>
      </c>
      <c r="U30" s="3">
        <f>IF(U9&lt;&gt;"",-(1-UnosPodataka!$M$10)*FinaIndikatori!U18,"")</f>
        <v>0</v>
      </c>
      <c r="V30" s="3">
        <f>IF(V9&lt;&gt;"",-(1-UnosPodataka!$M$10)*FinaIndikatori!V18,"")</f>
        <v>0</v>
      </c>
      <c r="W30" s="3">
        <f>IF(W9&lt;&gt;"",-(1-UnosPodataka!$M$10)*FinaIndikatori!W18,"")</f>
        <v>0</v>
      </c>
      <c r="X30" s="3">
        <f>IF(X9&lt;&gt;"",-(1-UnosPodataka!$M$10)*FinaIndikatori!X18,"")</f>
        <v>0</v>
      </c>
      <c r="Y30" s="3">
        <f>IF(Y9&lt;&gt;"",-(1-UnosPodataka!$M$10)*FinaIndikatori!Y18,"")</f>
        <v>0</v>
      </c>
    </row>
    <row r="31" spans="1:25" x14ac:dyDescent="0.25">
      <c r="A31" s="77" t="s">
        <v>114</v>
      </c>
      <c r="B31" s="77"/>
      <c r="C31" s="77"/>
      <c r="D31" s="77"/>
      <c r="E31" s="29">
        <f>-SUM(E11:E13)</f>
        <v>-243000</v>
      </c>
      <c r="F31" s="29">
        <f>IF(F9&lt;&gt;"",SUM(F22:F30),"")</f>
        <v>-79484.920827480892</v>
      </c>
      <c r="G31" s="29">
        <f t="shared" ref="G31:Y31" si="6">IF(G9&lt;&gt;"",SUM(G22:G30),"")</f>
        <v>-79484.920827480892</v>
      </c>
      <c r="H31" s="29">
        <f t="shared" si="6"/>
        <v>-79484.920827480892</v>
      </c>
      <c r="I31" s="29">
        <f t="shared" si="6"/>
        <v>-79484.920827480892</v>
      </c>
      <c r="J31" s="29">
        <f t="shared" si="6"/>
        <v>-79484.920827480892</v>
      </c>
      <c r="K31" s="29">
        <f t="shared" si="6"/>
        <v>-79484.920827480892</v>
      </c>
      <c r="L31" s="29">
        <f t="shared" si="6"/>
        <v>-79484.920827480892</v>
      </c>
      <c r="M31" s="29">
        <f t="shared" si="6"/>
        <v>-79484.920827480892</v>
      </c>
      <c r="N31" s="29">
        <f t="shared" si="6"/>
        <v>-49692.100303744046</v>
      </c>
      <c r="O31" s="29">
        <f t="shared" si="6"/>
        <v>-49692.100303744046</v>
      </c>
      <c r="P31" s="29">
        <f t="shared" si="6"/>
        <v>-49692.100303744046</v>
      </c>
      <c r="Q31" s="29">
        <f t="shared" si="6"/>
        <v>-49692.100303744046</v>
      </c>
      <c r="R31" s="29">
        <f t="shared" si="6"/>
        <v>-49692.100303744046</v>
      </c>
      <c r="S31" s="29">
        <f t="shared" si="6"/>
        <v>-49692.100303744046</v>
      </c>
      <c r="T31" s="29">
        <f t="shared" si="6"/>
        <v>-49692.100303744046</v>
      </c>
      <c r="U31" s="29">
        <f t="shared" si="6"/>
        <v>-49692.100303744046</v>
      </c>
      <c r="V31" s="29">
        <f t="shared" si="6"/>
        <v>-49692.100303744046</v>
      </c>
      <c r="W31" s="29">
        <f t="shared" si="6"/>
        <v>-49692.100303744046</v>
      </c>
      <c r="X31" s="29">
        <f t="shared" si="6"/>
        <v>-49692.100303744046</v>
      </c>
      <c r="Y31" s="29">
        <f t="shared" si="6"/>
        <v>-49692.100303744046</v>
      </c>
    </row>
    <row r="32" spans="1:25" x14ac:dyDescent="0.25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</row>
    <row r="33" spans="1:25" x14ac:dyDescent="0.25">
      <c r="A33" t="s">
        <v>160</v>
      </c>
      <c r="E33" s="3">
        <f>+E31-E29-E36</f>
        <v>-243000</v>
      </c>
      <c r="F33" s="3">
        <f>+F31-F29-F36</f>
        <v>-68485.521988180801</v>
      </c>
      <c r="G33" s="3">
        <f t="shared" ref="G33:Y33" si="7">+G31-G29-G36</f>
        <v>-68702.112757608062</v>
      </c>
      <c r="H33" s="3">
        <f t="shared" si="7"/>
        <v>-68944.694419366599</v>
      </c>
      <c r="I33" s="3">
        <f t="shared" si="7"/>
        <v>-69216.385880536152</v>
      </c>
      <c r="J33" s="3">
        <f t="shared" si="7"/>
        <v>-69520.680317046063</v>
      </c>
      <c r="K33" s="3">
        <f t="shared" si="7"/>
        <v>-69861.490085937156</v>
      </c>
      <c r="L33" s="3">
        <f t="shared" si="7"/>
        <v>-70243.197027095172</v>
      </c>
      <c r="M33" s="3">
        <f t="shared" si="7"/>
        <v>-70670.708801192173</v>
      </c>
      <c r="N33" s="3">
        <f t="shared" si="7"/>
        <v>-41356.701464443948</v>
      </c>
      <c r="O33" s="3">
        <f t="shared" si="7"/>
        <v>-41356.701464443948</v>
      </c>
      <c r="P33" s="3">
        <f t="shared" si="7"/>
        <v>-41356.701464443948</v>
      </c>
      <c r="Q33" s="3">
        <f t="shared" si="7"/>
        <v>-41356.701464443948</v>
      </c>
      <c r="R33" s="3">
        <f t="shared" si="7"/>
        <v>-41356.701464443948</v>
      </c>
      <c r="S33" s="3">
        <f t="shared" si="7"/>
        <v>-41356.701464443948</v>
      </c>
      <c r="T33" s="3">
        <f t="shared" si="7"/>
        <v>-41356.701464443948</v>
      </c>
      <c r="U33" s="3">
        <f t="shared" si="7"/>
        <v>-41356.701464443948</v>
      </c>
      <c r="V33" s="3">
        <f t="shared" si="7"/>
        <v>-41356.701464443948</v>
      </c>
      <c r="W33" s="3">
        <f t="shared" si="7"/>
        <v>-41356.701464443948</v>
      </c>
      <c r="X33" s="3">
        <f t="shared" si="7"/>
        <v>-41356.701464443948</v>
      </c>
      <c r="Y33" s="3">
        <f t="shared" si="7"/>
        <v>-41356.701464443948</v>
      </c>
    </row>
    <row r="34" spans="1:25" x14ac:dyDescent="0.25">
      <c r="A34" s="60" t="s">
        <v>161</v>
      </c>
      <c r="B34" s="60"/>
      <c r="C34" s="60"/>
      <c r="D34" s="60"/>
      <c r="F34" s="3">
        <f>IF(F9&lt;&gt;"",F19+F31-F23,"")</f>
        <v>7670.6744046660206</v>
      </c>
      <c r="G34" s="3">
        <f t="shared" ref="G34:Y34" si="8">IF(G9&lt;&gt;"",G19+G31-G23,"")</f>
        <v>9114.6128675144428</v>
      </c>
      <c r="H34" s="3">
        <f t="shared" si="8"/>
        <v>10731.823945904674</v>
      </c>
      <c r="I34" s="3">
        <f t="shared" si="8"/>
        <v>12543.100353701735</v>
      </c>
      <c r="J34" s="3">
        <f t="shared" si="8"/>
        <v>14571.729930434441</v>
      </c>
      <c r="K34" s="3">
        <f t="shared" si="8"/>
        <v>16843.795056375071</v>
      </c>
      <c r="L34" s="3">
        <f t="shared" si="8"/>
        <v>19388.507997428576</v>
      </c>
      <c r="M34" s="3">
        <f t="shared" si="8"/>
        <v>22238.586491408507</v>
      </c>
      <c r="N34" s="3">
        <f t="shared" si="8"/>
        <v>25430.674404666024</v>
      </c>
      <c r="O34" s="3">
        <f t="shared" si="8"/>
        <v>25430.674404666024</v>
      </c>
      <c r="P34" s="3">
        <f t="shared" si="8"/>
        <v>25430.674404666024</v>
      </c>
      <c r="Q34" s="3">
        <f t="shared" si="8"/>
        <v>25430.674404666024</v>
      </c>
      <c r="R34" s="3">
        <f t="shared" si="8"/>
        <v>25430.674404666024</v>
      </c>
      <c r="S34" s="3">
        <f t="shared" si="8"/>
        <v>25430.674404666024</v>
      </c>
      <c r="T34" s="3">
        <f t="shared" si="8"/>
        <v>25430.674404666024</v>
      </c>
      <c r="U34" s="3">
        <f t="shared" si="8"/>
        <v>25430.674404666024</v>
      </c>
      <c r="V34" s="3">
        <f t="shared" si="8"/>
        <v>25430.674404666024</v>
      </c>
      <c r="W34" s="3">
        <f t="shared" si="8"/>
        <v>25430.674404666024</v>
      </c>
      <c r="X34" s="3">
        <f t="shared" si="8"/>
        <v>25430.674404666024</v>
      </c>
      <c r="Y34" s="3">
        <f t="shared" si="8"/>
        <v>25430.674404666024</v>
      </c>
    </row>
    <row r="35" spans="1:25" x14ac:dyDescent="0.25">
      <c r="A35" s="70"/>
      <c r="B35" s="70"/>
      <c r="C35" s="70"/>
      <c r="D35" s="70"/>
    </row>
    <row r="36" spans="1:25" x14ac:dyDescent="0.25">
      <c r="A36" s="69" t="s">
        <v>115</v>
      </c>
      <c r="B36" s="69"/>
      <c r="C36" s="69"/>
      <c r="D36" s="69"/>
      <c r="F36" s="3">
        <f>IF(F9&lt;&gt;"",IF(F34&gt;0,F34*VAT,0),"")</f>
        <v>1150.6011606999029</v>
      </c>
      <c r="G36" s="3">
        <f t="shared" ref="G36:Y36" si="9">IF(G9&lt;&gt;"",IF(G34&gt;0,G34*VAT,0),"")</f>
        <v>1367.1919301271664</v>
      </c>
      <c r="H36" s="3">
        <f t="shared" si="9"/>
        <v>1609.7735918857011</v>
      </c>
      <c r="I36" s="3">
        <f t="shared" si="9"/>
        <v>1881.4650530552601</v>
      </c>
      <c r="J36" s="3">
        <f t="shared" si="9"/>
        <v>2185.7594895651659</v>
      </c>
      <c r="K36" s="3">
        <f t="shared" si="9"/>
        <v>2526.5692584562607</v>
      </c>
      <c r="L36" s="3">
        <f t="shared" si="9"/>
        <v>2908.2761996142863</v>
      </c>
      <c r="M36" s="3">
        <f t="shared" si="9"/>
        <v>3335.7879737112758</v>
      </c>
      <c r="N36" s="3">
        <f t="shared" si="9"/>
        <v>3814.6011606999036</v>
      </c>
      <c r="O36" s="3">
        <f t="shared" si="9"/>
        <v>3814.6011606999036</v>
      </c>
      <c r="P36" s="3">
        <f t="shared" si="9"/>
        <v>3814.6011606999036</v>
      </c>
      <c r="Q36" s="3">
        <f t="shared" si="9"/>
        <v>3814.6011606999036</v>
      </c>
      <c r="R36" s="3">
        <f t="shared" si="9"/>
        <v>3814.6011606999036</v>
      </c>
      <c r="S36" s="3">
        <f t="shared" si="9"/>
        <v>3814.6011606999036</v>
      </c>
      <c r="T36" s="3">
        <f t="shared" si="9"/>
        <v>3814.6011606999036</v>
      </c>
      <c r="U36" s="3">
        <f t="shared" si="9"/>
        <v>3814.6011606999036</v>
      </c>
      <c r="V36" s="3">
        <f t="shared" si="9"/>
        <v>3814.6011606999036</v>
      </c>
      <c r="W36" s="3">
        <f t="shared" si="9"/>
        <v>3814.6011606999036</v>
      </c>
      <c r="X36" s="3">
        <f t="shared" si="9"/>
        <v>3814.6011606999036</v>
      </c>
      <c r="Y36" s="3">
        <f t="shared" si="9"/>
        <v>3814.6011606999036</v>
      </c>
    </row>
    <row r="37" spans="1:25" x14ac:dyDescent="0.25">
      <c r="A37" s="60" t="s">
        <v>116</v>
      </c>
      <c r="B37" s="60"/>
      <c r="C37" s="60"/>
      <c r="D37" s="60"/>
      <c r="F37" s="3">
        <f>IF(F9&lt;&gt;"",F34-F36,"")</f>
        <v>6520.0732439661178</v>
      </c>
      <c r="G37" s="3">
        <f t="shared" ref="G37:Y37" si="10">IF(G9&lt;&gt;"",G34-G36,"")</f>
        <v>7747.4209373872764</v>
      </c>
      <c r="H37" s="3">
        <f t="shared" si="10"/>
        <v>9122.0503540189729</v>
      </c>
      <c r="I37" s="3">
        <f t="shared" si="10"/>
        <v>10661.635300646474</v>
      </c>
      <c r="J37" s="3">
        <f t="shared" si="10"/>
        <v>12385.970440869276</v>
      </c>
      <c r="K37" s="3">
        <f t="shared" si="10"/>
        <v>14317.225797918811</v>
      </c>
      <c r="L37" s="3">
        <f t="shared" si="10"/>
        <v>16480.231797814289</v>
      </c>
      <c r="M37" s="3">
        <f t="shared" si="10"/>
        <v>18902.798517697232</v>
      </c>
      <c r="N37" s="3">
        <f t="shared" si="10"/>
        <v>21616.073243966122</v>
      </c>
      <c r="O37" s="3">
        <f t="shared" si="10"/>
        <v>21616.073243966122</v>
      </c>
      <c r="P37" s="3">
        <f t="shared" si="10"/>
        <v>21616.073243966122</v>
      </c>
      <c r="Q37" s="3">
        <f t="shared" si="10"/>
        <v>21616.073243966122</v>
      </c>
      <c r="R37" s="3">
        <f t="shared" si="10"/>
        <v>21616.073243966122</v>
      </c>
      <c r="S37" s="3">
        <f t="shared" si="10"/>
        <v>21616.073243966122</v>
      </c>
      <c r="T37" s="3">
        <f t="shared" si="10"/>
        <v>21616.073243966122</v>
      </c>
      <c r="U37" s="3">
        <f t="shared" si="10"/>
        <v>21616.073243966122</v>
      </c>
      <c r="V37" s="3">
        <f t="shared" si="10"/>
        <v>21616.073243966122</v>
      </c>
      <c r="W37" s="3">
        <f t="shared" si="10"/>
        <v>21616.073243966122</v>
      </c>
      <c r="X37" s="3">
        <f t="shared" si="10"/>
        <v>21616.073243966122</v>
      </c>
      <c r="Y37" s="3">
        <f t="shared" si="10"/>
        <v>21616.073243966122</v>
      </c>
    </row>
    <row r="38" spans="1:25" x14ac:dyDescent="0.25">
      <c r="A38" s="21"/>
      <c r="B38" s="21"/>
      <c r="C38" s="21"/>
      <c r="D38" s="21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</row>
    <row r="39" spans="1:25" x14ac:dyDescent="0.25">
      <c r="A39" s="31" t="s">
        <v>162</v>
      </c>
      <c r="B39" s="18"/>
      <c r="C39" s="18"/>
      <c r="D39" s="18"/>
      <c r="E39" s="3">
        <f>+E33</f>
        <v>-243000</v>
      </c>
      <c r="F39" s="3">
        <f>+F37+F23-F29</f>
        <v>6637.2527202292758</v>
      </c>
      <c r="G39" s="3">
        <f t="shared" ref="G39:Y39" si="11">+G37+G23-G29</f>
        <v>6420.6619508020121</v>
      </c>
      <c r="H39" s="3">
        <f t="shared" si="11"/>
        <v>6178.080289043477</v>
      </c>
      <c r="I39" s="3">
        <f t="shared" si="11"/>
        <v>5906.3888278739178</v>
      </c>
      <c r="J39" s="3">
        <f t="shared" si="11"/>
        <v>5602.0943913640131</v>
      </c>
      <c r="K39" s="3">
        <f t="shared" si="11"/>
        <v>5261.2846224729183</v>
      </c>
      <c r="L39" s="3">
        <f t="shared" si="11"/>
        <v>4879.5776813148914</v>
      </c>
      <c r="M39" s="3">
        <f t="shared" si="11"/>
        <v>4452.0659072179042</v>
      </c>
      <c r="N39" s="3">
        <f t="shared" si="11"/>
        <v>33766.073243966122</v>
      </c>
      <c r="O39" s="3">
        <f t="shared" si="11"/>
        <v>33766.073243966122</v>
      </c>
      <c r="P39" s="3">
        <f t="shared" si="11"/>
        <v>33766.073243966122</v>
      </c>
      <c r="Q39" s="3">
        <f t="shared" si="11"/>
        <v>33766.073243966122</v>
      </c>
      <c r="R39" s="3">
        <f t="shared" si="11"/>
        <v>33766.073243966122</v>
      </c>
      <c r="S39" s="3">
        <f t="shared" si="11"/>
        <v>33766.073243966122</v>
      </c>
      <c r="T39" s="3">
        <f t="shared" si="11"/>
        <v>33766.073243966122</v>
      </c>
      <c r="U39" s="3">
        <f t="shared" si="11"/>
        <v>33766.073243966122</v>
      </c>
      <c r="V39" s="3">
        <f t="shared" si="11"/>
        <v>33766.073243966122</v>
      </c>
      <c r="W39" s="3">
        <f t="shared" si="11"/>
        <v>33766.073243966122</v>
      </c>
      <c r="X39" s="3">
        <f t="shared" si="11"/>
        <v>33766.073243966122</v>
      </c>
      <c r="Y39" s="3">
        <f t="shared" si="11"/>
        <v>33766.073243966122</v>
      </c>
    </row>
    <row r="40" spans="1:25" x14ac:dyDescent="0.25">
      <c r="A40" s="31" t="s">
        <v>163</v>
      </c>
      <c r="B40" s="18"/>
      <c r="C40" s="18"/>
      <c r="D40" s="18"/>
      <c r="E40" s="3">
        <f>+E39</f>
        <v>-243000</v>
      </c>
      <c r="F40" s="3">
        <f>+E40+F39</f>
        <v>-236362.74727977073</v>
      </c>
      <c r="G40" s="3">
        <f t="shared" ref="G40:Y40" si="12">+F40+G39</f>
        <v>-229942.08532896871</v>
      </c>
      <c r="H40" s="3">
        <f t="shared" si="12"/>
        <v>-223764.00503992522</v>
      </c>
      <c r="I40" s="3">
        <f t="shared" si="12"/>
        <v>-217857.6162120513</v>
      </c>
      <c r="J40" s="3">
        <f t="shared" si="12"/>
        <v>-212255.52182068728</v>
      </c>
      <c r="K40" s="3">
        <f t="shared" si="12"/>
        <v>-206994.23719821437</v>
      </c>
      <c r="L40" s="3">
        <f t="shared" si="12"/>
        <v>-202114.65951689947</v>
      </c>
      <c r="M40" s="3">
        <f t="shared" si="12"/>
        <v>-197662.59360968156</v>
      </c>
      <c r="N40" s="3">
        <f t="shared" si="12"/>
        <v>-163896.52036571543</v>
      </c>
      <c r="O40" s="3">
        <f t="shared" si="12"/>
        <v>-130130.44712174931</v>
      </c>
      <c r="P40" s="3">
        <f t="shared" si="12"/>
        <v>-96364.37387778319</v>
      </c>
      <c r="Q40" s="3">
        <f t="shared" si="12"/>
        <v>-62598.300633817067</v>
      </c>
      <c r="R40" s="3">
        <f t="shared" si="12"/>
        <v>-28832.227389850945</v>
      </c>
      <c r="S40" s="3">
        <f t="shared" si="12"/>
        <v>4933.8458541151776</v>
      </c>
      <c r="T40" s="3">
        <f t="shared" si="12"/>
        <v>38699.9190980813</v>
      </c>
      <c r="U40" s="3">
        <f t="shared" si="12"/>
        <v>72465.992342047422</v>
      </c>
      <c r="V40" s="3">
        <f t="shared" si="12"/>
        <v>106232.06558601354</v>
      </c>
      <c r="W40" s="3">
        <f t="shared" si="12"/>
        <v>139998.13882997967</v>
      </c>
      <c r="X40" s="3">
        <f t="shared" si="12"/>
        <v>173764.21207394579</v>
      </c>
      <c r="Y40" s="3">
        <f t="shared" si="12"/>
        <v>207530.28531791191</v>
      </c>
    </row>
    <row r="41" spans="1:25" x14ac:dyDescent="0.25">
      <c r="A41" s="18"/>
      <c r="B41" s="18"/>
      <c r="C41" s="18"/>
      <c r="D41" s="18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</row>
    <row r="42" spans="1:25" x14ac:dyDescent="0.25">
      <c r="A42" s="31" t="s">
        <v>71</v>
      </c>
      <c r="B42" s="18"/>
      <c r="C42" s="18"/>
      <c r="D42" s="18"/>
      <c r="E42" s="7">
        <f>+PomTab1!L25</f>
        <v>8.5082304526748975E-2</v>
      </c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</row>
    <row r="43" spans="1:25" x14ac:dyDescent="0.25">
      <c r="A43" s="31" t="s">
        <v>164</v>
      </c>
      <c r="B43" s="18"/>
      <c r="C43" s="18"/>
      <c r="D43" s="18"/>
      <c r="E43" s="3">
        <f>IF(E9&lt;&gt;"",E39*(1+$E$42)^-E10,"")</f>
        <v>-243000</v>
      </c>
      <c r="F43" s="3">
        <f>IF(F9&lt;&gt;"",F39*(1+$E$42)^-F9,"")</f>
        <v>6116.8196113234626</v>
      </c>
      <c r="G43" s="3">
        <f t="shared" ref="G43:Y43" si="13">IF(G9&lt;&gt;"",G39*(1+$E$42)^-G9,"")</f>
        <v>5453.237878135692</v>
      </c>
      <c r="H43" s="3">
        <f t="shared" si="13"/>
        <v>4835.7685311416362</v>
      </c>
      <c r="I43" s="3">
        <f t="shared" si="13"/>
        <v>4260.6053620097236</v>
      </c>
      <c r="J43" s="3">
        <f t="shared" si="13"/>
        <v>3724.2344806757465</v>
      </c>
      <c r="K43" s="3">
        <f t="shared" si="13"/>
        <v>3223.4111971345988</v>
      </c>
      <c r="L43" s="3">
        <f t="shared" si="13"/>
        <v>2755.1387096041876</v>
      </c>
      <c r="M43" s="3">
        <f t="shared" si="13"/>
        <v>2316.6484572178956</v>
      </c>
      <c r="N43" s="3">
        <f t="shared" si="13"/>
        <v>16192.594058324663</v>
      </c>
      <c r="O43" s="3">
        <f t="shared" si="13"/>
        <v>14922.917819940805</v>
      </c>
      <c r="P43" s="3">
        <f t="shared" si="13"/>
        <v>13752.798066732212</v>
      </c>
      <c r="Q43" s="3">
        <f t="shared" si="13"/>
        <v>12674.428482851719</v>
      </c>
      <c r="R43" s="3">
        <f t="shared" si="13"/>
        <v>11680.614852879369</v>
      </c>
      <c r="S43" s="3">
        <f t="shared" si="13"/>
        <v>10764.727066463205</v>
      </c>
      <c r="T43" s="3">
        <f t="shared" si="13"/>
        <v>9920.6548863205062</v>
      </c>
      <c r="U43" s="3">
        <f t="shared" si="13"/>
        <v>9142.7671845107889</v>
      </c>
      <c r="V43" s="3">
        <f t="shared" si="13"/>
        <v>8425.8743750303274</v>
      </c>
      <c r="W43" s="3">
        <f t="shared" si="13"/>
        <v>7765.1937921015251</v>
      </c>
      <c r="X43" s="3">
        <f t="shared" si="13"/>
        <v>7156.3177831825942</v>
      </c>
      <c r="Y43" s="3">
        <f t="shared" si="13"/>
        <v>6595.184303833772</v>
      </c>
    </row>
    <row r="44" spans="1:25" x14ac:dyDescent="0.25">
      <c r="A44" s="31" t="s">
        <v>165</v>
      </c>
      <c r="B44" s="18"/>
      <c r="C44" s="18"/>
      <c r="D44" s="18"/>
      <c r="E44" s="3">
        <f>+E43</f>
        <v>-243000</v>
      </c>
      <c r="F44" s="3">
        <f>+E44+F43</f>
        <v>-236883.18038867653</v>
      </c>
      <c r="G44" s="3">
        <f t="shared" ref="G44:Y44" si="14">+F44+G43</f>
        <v>-231429.94251054083</v>
      </c>
      <c r="H44" s="3">
        <f t="shared" si="14"/>
        <v>-226594.1739793992</v>
      </c>
      <c r="I44" s="3">
        <f t="shared" si="14"/>
        <v>-222333.56861738948</v>
      </c>
      <c r="J44" s="3">
        <f t="shared" si="14"/>
        <v>-218609.33413671373</v>
      </c>
      <c r="K44" s="3">
        <f t="shared" si="14"/>
        <v>-215385.92293957915</v>
      </c>
      <c r="L44" s="3">
        <f t="shared" si="14"/>
        <v>-212630.78422997496</v>
      </c>
      <c r="M44" s="3">
        <f t="shared" si="14"/>
        <v>-210314.13577275706</v>
      </c>
      <c r="N44" s="3">
        <f t="shared" si="14"/>
        <v>-194121.54171443239</v>
      </c>
      <c r="O44" s="3">
        <f t="shared" si="14"/>
        <v>-179198.62389449158</v>
      </c>
      <c r="P44" s="3">
        <f t="shared" si="14"/>
        <v>-165445.82582775937</v>
      </c>
      <c r="Q44" s="3">
        <f t="shared" si="14"/>
        <v>-152771.39734490766</v>
      </c>
      <c r="R44" s="3">
        <f t="shared" si="14"/>
        <v>-141090.78249202829</v>
      </c>
      <c r="S44" s="3">
        <f t="shared" si="14"/>
        <v>-130326.05542556508</v>
      </c>
      <c r="T44" s="3">
        <f t="shared" si="14"/>
        <v>-120405.40053924457</v>
      </c>
      <c r="U44" s="3">
        <f t="shared" si="14"/>
        <v>-111262.63335473379</v>
      </c>
      <c r="V44" s="3">
        <f t="shared" si="14"/>
        <v>-102836.75897970346</v>
      </c>
      <c r="W44" s="3">
        <f t="shared" si="14"/>
        <v>-95071.56518760194</v>
      </c>
      <c r="X44" s="3">
        <f t="shared" si="14"/>
        <v>-87915.247404419351</v>
      </c>
      <c r="Y44" s="3">
        <f t="shared" si="14"/>
        <v>-81320.063100585583</v>
      </c>
    </row>
    <row r="45" spans="1:25" x14ac:dyDescent="0.25">
      <c r="A45" s="31"/>
      <c r="B45" s="18"/>
      <c r="C45" s="18"/>
      <c r="D45" s="18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</row>
    <row r="46" spans="1:25" x14ac:dyDescent="0.25">
      <c r="A46" s="32" t="s">
        <v>166</v>
      </c>
      <c r="B46" s="33"/>
      <c r="C46" s="33"/>
      <c r="D46" s="33"/>
      <c r="E46" s="35">
        <f>+NPV(E42,E39:Y39)</f>
        <v>-74943.681932084102</v>
      </c>
      <c r="F46" s="38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</row>
    <row r="47" spans="1:25" x14ac:dyDescent="0.25">
      <c r="A47" s="32" t="s">
        <v>167</v>
      </c>
      <c r="B47" s="33"/>
      <c r="C47" s="33"/>
      <c r="D47" s="33"/>
      <c r="E47" s="36">
        <f>+IRR(E39:Y39,10%)</f>
        <v>4.8842177336909653E-2</v>
      </c>
      <c r="F47" s="38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</row>
    <row r="48" spans="1:25" x14ac:dyDescent="0.25">
      <c r="A48" s="32" t="s">
        <v>168</v>
      </c>
      <c r="B48" s="33"/>
      <c r="C48" s="33"/>
      <c r="D48" s="33"/>
      <c r="E48" s="35">
        <f t="array" ref="E48">+NPV(E42,F19:Y19/-NPV(E42,E33:Y33))</f>
        <v>0.97364221837460374</v>
      </c>
      <c r="F48" s="38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</row>
    <row r="49" spans="1:25" x14ac:dyDescent="0.25">
      <c r="A49" s="32" t="s">
        <v>169</v>
      </c>
      <c r="B49" s="33"/>
      <c r="C49" s="33"/>
      <c r="D49" s="33"/>
      <c r="E49" s="37">
        <f t="array" ref="E49">+LOOKUP(INDEX(E40:Y40,MATCH(TRUE,E40:Y40&gt;0,0)),E40:Y40,E9:Y9)</f>
        <v>14</v>
      </c>
      <c r="F49" s="37" t="s">
        <v>179</v>
      </c>
      <c r="G49" s="3"/>
      <c r="H49" s="3">
        <f t="array" ref="H49">INDEX(E40:Y40,MATCH(TRUE,E40:Y40&gt;0,0))</f>
        <v>4933.8458541151776</v>
      </c>
      <c r="I49" s="3"/>
      <c r="J49" s="3">
        <f t="array" ref="J49">+LOOKUP(INDEX(E40:Y40,MATCH(TRUE,E40:Y40&gt;0,0)),E40:Y40,E9:Y9)</f>
        <v>14</v>
      </c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</row>
    <row r="50" spans="1:25" x14ac:dyDescent="0.25">
      <c r="A50" s="32" t="s">
        <v>170</v>
      </c>
      <c r="B50" s="33"/>
      <c r="C50" s="33"/>
      <c r="D50" s="33"/>
      <c r="E50" s="37" t="e">
        <f t="array" ref="E50">+LOOKUP(INDEX(E44:Y44,MATCH(TRUE,E44:Y44&gt;0,0)),E44:Y44,E9:Y9)</f>
        <v>#N/A</v>
      </c>
      <c r="F50" s="37" t="s">
        <v>179</v>
      </c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</row>
    <row r="51" spans="1:25" x14ac:dyDescent="0.25">
      <c r="A51" s="31"/>
      <c r="B51" s="18"/>
      <c r="C51" s="18"/>
      <c r="D51" s="18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</row>
    <row r="52" spans="1:25" x14ac:dyDescent="0.25"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</row>
    <row r="53" spans="1:25" x14ac:dyDescent="0.25">
      <c r="A53" s="69" t="s">
        <v>171</v>
      </c>
      <c r="B53" s="69"/>
      <c r="C53" s="69"/>
      <c r="D53" s="69"/>
      <c r="E53" s="3">
        <f>IF(E9&lt;&gt;"",E33,"")</f>
        <v>-243000</v>
      </c>
      <c r="F53" s="3">
        <f>IF(F9&lt;&gt;"",F33,"")</f>
        <v>-68485.521988180801</v>
      </c>
      <c r="G53" s="3">
        <f t="shared" ref="G53:Y53" si="15">IF(G9&lt;&gt;"",G33,"")</f>
        <v>-68702.112757608062</v>
      </c>
      <c r="H53" s="3">
        <f t="shared" si="15"/>
        <v>-68944.694419366599</v>
      </c>
      <c r="I53" s="3">
        <f t="shared" si="15"/>
        <v>-69216.385880536152</v>
      </c>
      <c r="J53" s="3">
        <f t="shared" si="15"/>
        <v>-69520.680317046063</v>
      </c>
      <c r="K53" s="3">
        <f t="shared" si="15"/>
        <v>-69861.490085937156</v>
      </c>
      <c r="L53" s="3">
        <f t="shared" si="15"/>
        <v>-70243.197027095172</v>
      </c>
      <c r="M53" s="3">
        <f t="shared" si="15"/>
        <v>-70670.708801192173</v>
      </c>
      <c r="N53" s="3">
        <f t="shared" si="15"/>
        <v>-41356.701464443948</v>
      </c>
      <c r="O53" s="3">
        <f t="shared" si="15"/>
        <v>-41356.701464443948</v>
      </c>
      <c r="P53" s="3">
        <f t="shared" si="15"/>
        <v>-41356.701464443948</v>
      </c>
      <c r="Q53" s="3">
        <f t="shared" si="15"/>
        <v>-41356.701464443948</v>
      </c>
      <c r="R53" s="3">
        <f t="shared" si="15"/>
        <v>-41356.701464443948</v>
      </c>
      <c r="S53" s="3">
        <f t="shared" si="15"/>
        <v>-41356.701464443948</v>
      </c>
      <c r="T53" s="3">
        <f t="shared" si="15"/>
        <v>-41356.701464443948</v>
      </c>
      <c r="U53" s="3">
        <f t="shared" si="15"/>
        <v>-41356.701464443948</v>
      </c>
      <c r="V53" s="3">
        <f t="shared" si="15"/>
        <v>-41356.701464443948</v>
      </c>
      <c r="W53" s="3">
        <f t="shared" si="15"/>
        <v>-41356.701464443948</v>
      </c>
      <c r="X53" s="3">
        <f t="shared" si="15"/>
        <v>-41356.701464443948</v>
      </c>
      <c r="Y53" s="3">
        <f t="shared" si="15"/>
        <v>-41356.701464443948</v>
      </c>
    </row>
    <row r="54" spans="1:25" x14ac:dyDescent="0.25">
      <c r="A54" s="69" t="s">
        <v>172</v>
      </c>
      <c r="B54" s="69"/>
      <c r="C54" s="69"/>
      <c r="D54" s="69"/>
      <c r="E54" s="3">
        <f t="shared" ref="E54:Y54" si="16">IF(E9&lt;&gt;"",E53*(1+FDS)^-E9,"")</f>
        <v>-243000</v>
      </c>
      <c r="F54" s="3">
        <f t="shared" si="16"/>
        <v>-68485.521988180801</v>
      </c>
      <c r="G54" s="3">
        <f t="shared" si="16"/>
        <v>-68702.112757608062</v>
      </c>
      <c r="H54" s="3">
        <f t="shared" si="16"/>
        <v>-68944.694419366599</v>
      </c>
      <c r="I54" s="3">
        <f t="shared" si="16"/>
        <v>-69216.385880536152</v>
      </c>
      <c r="J54" s="3">
        <f t="shared" si="16"/>
        <v>-69520.680317046063</v>
      </c>
      <c r="K54" s="3">
        <f t="shared" si="16"/>
        <v>-69861.490085937156</v>
      </c>
      <c r="L54" s="3">
        <f t="shared" si="16"/>
        <v>-70243.197027095172</v>
      </c>
      <c r="M54" s="3">
        <f t="shared" si="16"/>
        <v>-70670.708801192173</v>
      </c>
      <c r="N54" s="3">
        <f t="shared" si="16"/>
        <v>-41356.701464443948</v>
      </c>
      <c r="O54" s="3">
        <f t="shared" si="16"/>
        <v>-41356.701464443948</v>
      </c>
      <c r="P54" s="3">
        <f t="shared" si="16"/>
        <v>-41356.701464443948</v>
      </c>
      <c r="Q54" s="3">
        <f t="shared" si="16"/>
        <v>-41356.701464443948</v>
      </c>
      <c r="R54" s="3">
        <f t="shared" si="16"/>
        <v>-41356.701464443948</v>
      </c>
      <c r="S54" s="3">
        <f t="shared" si="16"/>
        <v>-41356.701464443948</v>
      </c>
      <c r="T54" s="3">
        <f t="shared" si="16"/>
        <v>-41356.701464443948</v>
      </c>
      <c r="U54" s="3">
        <f t="shared" si="16"/>
        <v>-41356.701464443948</v>
      </c>
      <c r="V54" s="3">
        <f t="shared" si="16"/>
        <v>-41356.701464443948</v>
      </c>
      <c r="W54" s="3">
        <f t="shared" si="16"/>
        <v>-41356.701464443948</v>
      </c>
      <c r="X54" s="3">
        <f t="shared" si="16"/>
        <v>-41356.701464443948</v>
      </c>
      <c r="Y54" s="3">
        <f t="shared" si="16"/>
        <v>-41356.701464443948</v>
      </c>
    </row>
    <row r="55" spans="1:25" x14ac:dyDescent="0.25">
      <c r="A55" s="69" t="s">
        <v>173</v>
      </c>
      <c r="B55" s="69"/>
      <c r="C55" s="69"/>
      <c r="D55" s="69"/>
      <c r="E55" s="3">
        <f>-E54</f>
        <v>243000</v>
      </c>
      <c r="F55" s="3">
        <f>IF(F9&lt;&gt;"",E55-F54,"")</f>
        <v>311485.52198818082</v>
      </c>
      <c r="G55" s="3">
        <f t="shared" ref="G55:Y55" si="17">IF(G9&lt;&gt;"",F55-G54,"")</f>
        <v>380187.63474578888</v>
      </c>
      <c r="H55" s="3">
        <f t="shared" si="17"/>
        <v>449132.32916515548</v>
      </c>
      <c r="I55" s="3">
        <f t="shared" si="17"/>
        <v>518348.71504569164</v>
      </c>
      <c r="J55" s="3">
        <f t="shared" si="17"/>
        <v>587869.3953627377</v>
      </c>
      <c r="K55" s="3">
        <f t="shared" si="17"/>
        <v>657730.8854486749</v>
      </c>
      <c r="L55" s="3">
        <f t="shared" si="17"/>
        <v>727974.08247577003</v>
      </c>
      <c r="M55" s="3">
        <f t="shared" si="17"/>
        <v>798644.79127696226</v>
      </c>
      <c r="N55" s="3">
        <f t="shared" si="17"/>
        <v>840001.4927414062</v>
      </c>
      <c r="O55" s="3">
        <f t="shared" si="17"/>
        <v>881358.19420585013</v>
      </c>
      <c r="P55" s="3">
        <f t="shared" si="17"/>
        <v>922714.89567029406</v>
      </c>
      <c r="Q55" s="3">
        <f t="shared" si="17"/>
        <v>964071.597134738</v>
      </c>
      <c r="R55" s="3">
        <f t="shared" si="17"/>
        <v>1005428.2985991819</v>
      </c>
      <c r="S55" s="3">
        <f t="shared" si="17"/>
        <v>1046785.0000636259</v>
      </c>
      <c r="T55" s="3">
        <f t="shared" si="17"/>
        <v>1088141.7015280698</v>
      </c>
      <c r="U55" s="3">
        <f t="shared" si="17"/>
        <v>1129498.4029925137</v>
      </c>
      <c r="V55" s="3">
        <f t="shared" si="17"/>
        <v>1170855.1044569577</v>
      </c>
      <c r="W55" s="3">
        <f t="shared" si="17"/>
        <v>1212211.8059214016</v>
      </c>
      <c r="X55" s="3">
        <f t="shared" si="17"/>
        <v>1253568.5073858455</v>
      </c>
      <c r="Y55" s="3">
        <f t="shared" si="17"/>
        <v>1294925.2088502895</v>
      </c>
    </row>
    <row r="56" spans="1:25" x14ac:dyDescent="0.25">
      <c r="A56" s="69" t="s">
        <v>174</v>
      </c>
      <c r="B56" s="69"/>
      <c r="C56" s="69"/>
      <c r="D56" s="69"/>
      <c r="F56" s="3">
        <f>IF(F9&lt;&gt;"",F19,"")</f>
        <v>75122.77470841007</v>
      </c>
      <c r="G56" s="3">
        <f t="shared" ref="G56:Y56" si="18">IF(G9&lt;&gt;"",G19,"")</f>
        <v>75122.77470841007</v>
      </c>
      <c r="H56" s="3">
        <f t="shared" si="18"/>
        <v>75122.77470841007</v>
      </c>
      <c r="I56" s="3">
        <f t="shared" si="18"/>
        <v>75122.77470841007</v>
      </c>
      <c r="J56" s="3">
        <f t="shared" si="18"/>
        <v>75122.77470841007</v>
      </c>
      <c r="K56" s="3">
        <f t="shared" si="18"/>
        <v>75122.77470841007</v>
      </c>
      <c r="L56" s="3">
        <f t="shared" si="18"/>
        <v>75122.77470841007</v>
      </c>
      <c r="M56" s="3">
        <f t="shared" si="18"/>
        <v>75122.77470841007</v>
      </c>
      <c r="N56" s="3">
        <f t="shared" si="18"/>
        <v>75122.77470841007</v>
      </c>
      <c r="O56" s="3">
        <f t="shared" si="18"/>
        <v>75122.77470841007</v>
      </c>
      <c r="P56" s="3">
        <f t="shared" si="18"/>
        <v>75122.77470841007</v>
      </c>
      <c r="Q56" s="3">
        <f t="shared" si="18"/>
        <v>75122.77470841007</v>
      </c>
      <c r="R56" s="3">
        <f t="shared" si="18"/>
        <v>75122.77470841007</v>
      </c>
      <c r="S56" s="3">
        <f t="shared" si="18"/>
        <v>75122.77470841007</v>
      </c>
      <c r="T56" s="3">
        <f t="shared" si="18"/>
        <v>75122.77470841007</v>
      </c>
      <c r="U56" s="3">
        <f t="shared" si="18"/>
        <v>75122.77470841007</v>
      </c>
      <c r="V56" s="3">
        <f t="shared" si="18"/>
        <v>75122.77470841007</v>
      </c>
      <c r="W56" s="3">
        <f t="shared" si="18"/>
        <v>75122.77470841007</v>
      </c>
      <c r="X56" s="3">
        <f t="shared" si="18"/>
        <v>75122.77470841007</v>
      </c>
      <c r="Y56" s="3">
        <f t="shared" si="18"/>
        <v>75122.77470841007</v>
      </c>
    </row>
    <row r="57" spans="1:25" x14ac:dyDescent="0.25">
      <c r="A57" s="69" t="s">
        <v>175</v>
      </c>
      <c r="B57" s="69"/>
      <c r="C57" s="69"/>
      <c r="D57" s="69"/>
      <c r="F57" s="3">
        <v>70855.458195218584</v>
      </c>
      <c r="G57" s="3">
        <f t="shared" ref="G57:Y57" si="19">IF(G9&lt;&gt;"",G56*(1+FDS)^-G9,"")</f>
        <v>75122.77470841007</v>
      </c>
      <c r="H57" s="3">
        <f t="shared" si="19"/>
        <v>75122.77470841007</v>
      </c>
      <c r="I57" s="3">
        <f t="shared" si="19"/>
        <v>75122.77470841007</v>
      </c>
      <c r="J57" s="3">
        <f t="shared" si="19"/>
        <v>75122.77470841007</v>
      </c>
      <c r="K57" s="3">
        <f t="shared" si="19"/>
        <v>75122.77470841007</v>
      </c>
      <c r="L57" s="3">
        <f t="shared" si="19"/>
        <v>75122.77470841007</v>
      </c>
      <c r="M57" s="3">
        <f t="shared" si="19"/>
        <v>75122.77470841007</v>
      </c>
      <c r="N57" s="3">
        <f t="shared" si="19"/>
        <v>75122.77470841007</v>
      </c>
      <c r="O57" s="3">
        <f t="shared" si="19"/>
        <v>75122.77470841007</v>
      </c>
      <c r="P57" s="3">
        <f t="shared" si="19"/>
        <v>75122.77470841007</v>
      </c>
      <c r="Q57" s="3">
        <f t="shared" si="19"/>
        <v>75122.77470841007</v>
      </c>
      <c r="R57" s="3">
        <f t="shared" si="19"/>
        <v>75122.77470841007</v>
      </c>
      <c r="S57" s="3">
        <f t="shared" si="19"/>
        <v>75122.77470841007</v>
      </c>
      <c r="T57" s="3">
        <f t="shared" si="19"/>
        <v>75122.77470841007</v>
      </c>
      <c r="U57" s="3">
        <f t="shared" si="19"/>
        <v>75122.77470841007</v>
      </c>
      <c r="V57" s="3">
        <f t="shared" si="19"/>
        <v>75122.77470841007</v>
      </c>
      <c r="W57" s="3">
        <f t="shared" si="19"/>
        <v>75122.77470841007</v>
      </c>
      <c r="X57" s="3">
        <f t="shared" si="19"/>
        <v>75122.77470841007</v>
      </c>
      <c r="Y57" s="3">
        <f t="shared" si="19"/>
        <v>75122.77470841007</v>
      </c>
    </row>
    <row r="58" spans="1:25" x14ac:dyDescent="0.25">
      <c r="A58" s="69" t="s">
        <v>176</v>
      </c>
      <c r="B58" s="69"/>
      <c r="C58" s="69"/>
      <c r="D58" s="69"/>
      <c r="E58" s="3"/>
      <c r="F58" s="3">
        <f>IF(F9&lt;&gt;"",E58+F57,"")</f>
        <v>70855.458195218584</v>
      </c>
      <c r="G58" s="3">
        <f>IF(G9&lt;&gt;"",F58+G57,"")</f>
        <v>145978.23290362867</v>
      </c>
      <c r="H58" s="3">
        <f t="shared" ref="H58:Y58" si="20">IF(H9&lt;&gt;"",G58+H57,"")</f>
        <v>221101.00761203875</v>
      </c>
      <c r="I58" s="3">
        <f t="shared" si="20"/>
        <v>296223.78232044884</v>
      </c>
      <c r="J58" s="3">
        <f t="shared" si="20"/>
        <v>371346.55702885892</v>
      </c>
      <c r="K58" s="3">
        <f t="shared" si="20"/>
        <v>446469.33173726901</v>
      </c>
      <c r="L58" s="3">
        <f t="shared" si="20"/>
        <v>521592.10644567909</v>
      </c>
      <c r="M58" s="3">
        <f t="shared" si="20"/>
        <v>596714.88115408912</v>
      </c>
      <c r="N58" s="3">
        <f t="shared" si="20"/>
        <v>671837.65586249914</v>
      </c>
      <c r="O58" s="3">
        <f t="shared" si="20"/>
        <v>746960.43057090917</v>
      </c>
      <c r="P58" s="3">
        <f t="shared" si="20"/>
        <v>822083.2052793192</v>
      </c>
      <c r="Q58" s="3">
        <f t="shared" si="20"/>
        <v>897205.97998772922</v>
      </c>
      <c r="R58" s="3">
        <f t="shared" si="20"/>
        <v>972328.75469613925</v>
      </c>
      <c r="S58" s="3">
        <f t="shared" si="20"/>
        <v>1047451.5294045493</v>
      </c>
      <c r="T58" s="3">
        <f t="shared" si="20"/>
        <v>1122574.3041129594</v>
      </c>
      <c r="U58" s="3">
        <f t="shared" si="20"/>
        <v>1197697.0788213694</v>
      </c>
      <c r="V58" s="3">
        <f t="shared" si="20"/>
        <v>1272819.8535297795</v>
      </c>
      <c r="W58" s="3">
        <f t="shared" si="20"/>
        <v>1347942.6282381895</v>
      </c>
      <c r="X58" s="3">
        <f t="shared" si="20"/>
        <v>1423065.4029465995</v>
      </c>
      <c r="Y58" s="3">
        <f t="shared" si="20"/>
        <v>1498188.1776550096</v>
      </c>
    </row>
    <row r="59" spans="1:25" x14ac:dyDescent="0.25">
      <c r="A59" s="69" t="s">
        <v>177</v>
      </c>
      <c r="B59" s="69"/>
      <c r="C59" s="69"/>
      <c r="D59" s="69"/>
      <c r="E59" s="3">
        <f>+E58-E55</f>
        <v>-243000</v>
      </c>
      <c r="F59" s="3">
        <f>+F58-F55</f>
        <v>-240630.06379296223</v>
      </c>
      <c r="G59" s="3">
        <f t="shared" ref="G59:Y59" si="21">+G58-G55</f>
        <v>-234209.40184216021</v>
      </c>
      <c r="H59" s="3">
        <f t="shared" si="21"/>
        <v>-228031.32155311672</v>
      </c>
      <c r="I59" s="3">
        <f t="shared" si="21"/>
        <v>-222124.9327252428</v>
      </c>
      <c r="J59" s="3">
        <f t="shared" si="21"/>
        <v>-216522.83833387878</v>
      </c>
      <c r="K59" s="3">
        <f t="shared" si="21"/>
        <v>-211261.5537114059</v>
      </c>
      <c r="L59" s="3">
        <f t="shared" si="21"/>
        <v>-206381.97603009094</v>
      </c>
      <c r="M59" s="3">
        <f t="shared" si="21"/>
        <v>-201929.91012287315</v>
      </c>
      <c r="N59" s="3">
        <f t="shared" si="21"/>
        <v>-168163.83687890705</v>
      </c>
      <c r="O59" s="3">
        <f t="shared" si="21"/>
        <v>-134397.76363494096</v>
      </c>
      <c r="P59" s="3">
        <f t="shared" si="21"/>
        <v>-100631.69039097487</v>
      </c>
      <c r="Q59" s="3">
        <f t="shared" si="21"/>
        <v>-66865.617147008772</v>
      </c>
      <c r="R59" s="3">
        <f t="shared" si="21"/>
        <v>-33099.543903042679</v>
      </c>
      <c r="S59" s="3">
        <f t="shared" si="21"/>
        <v>666.52934092341457</v>
      </c>
      <c r="T59" s="3">
        <f t="shared" si="21"/>
        <v>34432.602584889624</v>
      </c>
      <c r="U59" s="3">
        <f t="shared" si="21"/>
        <v>68198.675828855718</v>
      </c>
      <c r="V59" s="3">
        <f t="shared" si="21"/>
        <v>101964.74907282181</v>
      </c>
      <c r="W59" s="3">
        <f t="shared" si="21"/>
        <v>135730.8223167879</v>
      </c>
      <c r="X59" s="3">
        <f t="shared" si="21"/>
        <v>169496.895560754</v>
      </c>
      <c r="Y59" s="3">
        <f t="shared" si="21"/>
        <v>203262.96880472009</v>
      </c>
    </row>
    <row r="60" spans="1:25" x14ac:dyDescent="0.25">
      <c r="A60" s="34" t="s">
        <v>178</v>
      </c>
      <c r="B60" s="34"/>
      <c r="C60" s="34"/>
      <c r="D60" s="34"/>
      <c r="E60" s="37"/>
      <c r="F60" s="39">
        <f t="shared" ref="F60:Y60" si="22">-F53/HEAT</f>
        <v>62.259565443800724</v>
      </c>
      <c r="G60" s="39">
        <f t="shared" si="22"/>
        <v>62.456466143280053</v>
      </c>
      <c r="H60" s="39">
        <f t="shared" si="22"/>
        <v>62.676994926696906</v>
      </c>
      <c r="I60" s="39">
        <f t="shared" si="22"/>
        <v>62.923987164123773</v>
      </c>
      <c r="J60" s="39">
        <f t="shared" si="22"/>
        <v>63.200618470041874</v>
      </c>
      <c r="K60" s="39">
        <f t="shared" si="22"/>
        <v>63.51044553267014</v>
      </c>
      <c r="L60" s="39">
        <f t="shared" si="22"/>
        <v>63.857451842813795</v>
      </c>
      <c r="M60" s="39">
        <f t="shared" si="22"/>
        <v>64.246098910174709</v>
      </c>
      <c r="N60" s="39">
        <f t="shared" si="22"/>
        <v>37.597001331312683</v>
      </c>
      <c r="O60" s="39">
        <f t="shared" si="22"/>
        <v>37.597001331312683</v>
      </c>
      <c r="P60" s="39">
        <f t="shared" si="22"/>
        <v>37.597001331312683</v>
      </c>
      <c r="Q60" s="39">
        <f t="shared" si="22"/>
        <v>37.597001331312683</v>
      </c>
      <c r="R60" s="39">
        <f t="shared" si="22"/>
        <v>37.597001331312683</v>
      </c>
      <c r="S60" s="39">
        <f t="shared" si="22"/>
        <v>37.597001331312683</v>
      </c>
      <c r="T60" s="39">
        <f t="shared" si="22"/>
        <v>37.597001331312683</v>
      </c>
      <c r="U60" s="39">
        <f t="shared" si="22"/>
        <v>37.597001331312683</v>
      </c>
      <c r="V60" s="39">
        <f t="shared" si="22"/>
        <v>37.597001331312683</v>
      </c>
      <c r="W60" s="39">
        <f t="shared" si="22"/>
        <v>37.597001331312683</v>
      </c>
      <c r="X60" s="39">
        <f t="shared" si="22"/>
        <v>37.597001331312683</v>
      </c>
      <c r="Y60" s="39">
        <f t="shared" si="22"/>
        <v>37.597001331312683</v>
      </c>
    </row>
    <row r="62" spans="1:25" x14ac:dyDescent="0.25">
      <c r="A62" s="69" t="s">
        <v>117</v>
      </c>
      <c r="B62" s="69"/>
      <c r="C62" s="69"/>
      <c r="D62" s="69"/>
      <c r="E62" s="3">
        <f>+E55</f>
        <v>243000</v>
      </c>
      <c r="F62" s="3">
        <f t="shared" ref="F62:Y62" si="23">+F55</f>
        <v>311485.52198818082</v>
      </c>
      <c r="G62" s="3">
        <f t="shared" si="23"/>
        <v>380187.63474578888</v>
      </c>
      <c r="H62" s="3">
        <f t="shared" si="23"/>
        <v>449132.32916515548</v>
      </c>
      <c r="I62" s="3">
        <f t="shared" si="23"/>
        <v>518348.71504569164</v>
      </c>
      <c r="J62" s="3">
        <f t="shared" si="23"/>
        <v>587869.3953627377</v>
      </c>
      <c r="K62" s="3">
        <f t="shared" si="23"/>
        <v>657730.8854486749</v>
      </c>
      <c r="L62" s="3">
        <f t="shared" si="23"/>
        <v>727974.08247577003</v>
      </c>
      <c r="M62" s="3">
        <f t="shared" si="23"/>
        <v>798644.79127696226</v>
      </c>
      <c r="N62" s="3">
        <f t="shared" si="23"/>
        <v>840001.4927414062</v>
      </c>
      <c r="O62" s="3">
        <f t="shared" si="23"/>
        <v>881358.19420585013</v>
      </c>
      <c r="P62" s="3">
        <f t="shared" si="23"/>
        <v>922714.89567029406</v>
      </c>
      <c r="Q62" s="3">
        <f t="shared" si="23"/>
        <v>964071.597134738</v>
      </c>
      <c r="R62" s="3">
        <f t="shared" si="23"/>
        <v>1005428.2985991819</v>
      </c>
      <c r="S62" s="3">
        <f t="shared" si="23"/>
        <v>1046785.0000636259</v>
      </c>
      <c r="T62" s="3">
        <f t="shared" si="23"/>
        <v>1088141.7015280698</v>
      </c>
      <c r="U62" s="3">
        <f t="shared" si="23"/>
        <v>1129498.4029925137</v>
      </c>
      <c r="V62" s="3">
        <f t="shared" si="23"/>
        <v>1170855.1044569577</v>
      </c>
      <c r="W62" s="3">
        <f t="shared" si="23"/>
        <v>1212211.8059214016</v>
      </c>
      <c r="X62" s="3">
        <f t="shared" si="23"/>
        <v>1253568.5073858455</v>
      </c>
      <c r="Y62" s="3">
        <f t="shared" si="23"/>
        <v>1294925.2088502895</v>
      </c>
    </row>
    <row r="63" spans="1:25" x14ac:dyDescent="0.25">
      <c r="A63" s="69" t="s">
        <v>118</v>
      </c>
      <c r="B63" s="69"/>
      <c r="C63" s="69"/>
      <c r="D63" s="69"/>
      <c r="F63" s="3">
        <f>+F58</f>
        <v>70855.458195218584</v>
      </c>
      <c r="G63" s="3">
        <f t="shared" ref="G63:Y63" si="24">+G58</f>
        <v>145978.23290362867</v>
      </c>
      <c r="H63" s="3">
        <f t="shared" si="24"/>
        <v>221101.00761203875</v>
      </c>
      <c r="I63" s="3">
        <f t="shared" si="24"/>
        <v>296223.78232044884</v>
      </c>
      <c r="J63" s="3">
        <f t="shared" si="24"/>
        <v>371346.55702885892</v>
      </c>
      <c r="K63" s="3">
        <f t="shared" si="24"/>
        <v>446469.33173726901</v>
      </c>
      <c r="L63" s="3">
        <f t="shared" si="24"/>
        <v>521592.10644567909</v>
      </c>
      <c r="M63" s="3">
        <f t="shared" si="24"/>
        <v>596714.88115408912</v>
      </c>
      <c r="N63" s="3">
        <f t="shared" si="24"/>
        <v>671837.65586249914</v>
      </c>
      <c r="O63" s="3">
        <f t="shared" si="24"/>
        <v>746960.43057090917</v>
      </c>
      <c r="P63" s="3">
        <f t="shared" si="24"/>
        <v>822083.2052793192</v>
      </c>
      <c r="Q63" s="3">
        <f t="shared" si="24"/>
        <v>897205.97998772922</v>
      </c>
      <c r="R63" s="3">
        <f t="shared" si="24"/>
        <v>972328.75469613925</v>
      </c>
      <c r="S63" s="3">
        <f t="shared" si="24"/>
        <v>1047451.5294045493</v>
      </c>
      <c r="T63" s="3">
        <f t="shared" si="24"/>
        <v>1122574.3041129594</v>
      </c>
      <c r="U63" s="3">
        <f t="shared" si="24"/>
        <v>1197697.0788213694</v>
      </c>
      <c r="V63" s="3">
        <f t="shared" si="24"/>
        <v>1272819.8535297795</v>
      </c>
      <c r="W63" s="3">
        <f t="shared" si="24"/>
        <v>1347942.6282381895</v>
      </c>
      <c r="X63" s="3">
        <f t="shared" si="24"/>
        <v>1423065.4029465995</v>
      </c>
      <c r="Y63" s="3">
        <f t="shared" si="24"/>
        <v>1498188.1776550096</v>
      </c>
    </row>
  </sheetData>
  <sheetProtection selectLockedCells="1"/>
  <mergeCells count="38">
    <mergeCell ref="A63:D63"/>
    <mergeCell ref="A54:D54"/>
    <mergeCell ref="A55:D55"/>
    <mergeCell ref="A56:D56"/>
    <mergeCell ref="A57:D57"/>
    <mergeCell ref="A58:D58"/>
    <mergeCell ref="A59:D59"/>
    <mergeCell ref="A34:D34"/>
    <mergeCell ref="A36:D36"/>
    <mergeCell ref="A37:D37"/>
    <mergeCell ref="A35:D35"/>
    <mergeCell ref="A62:D62"/>
    <mergeCell ref="A24:D24"/>
    <mergeCell ref="A16:D16"/>
    <mergeCell ref="A15:D15"/>
    <mergeCell ref="A27:D27"/>
    <mergeCell ref="A26:D26"/>
    <mergeCell ref="N7:O7"/>
    <mergeCell ref="A7:D7"/>
    <mergeCell ref="A9:D9"/>
    <mergeCell ref="A11:D11"/>
    <mergeCell ref="A12:D12"/>
    <mergeCell ref="F4:I4"/>
    <mergeCell ref="A17:D17"/>
    <mergeCell ref="A21:D21"/>
    <mergeCell ref="A29:D29"/>
    <mergeCell ref="A53:D53"/>
    <mergeCell ref="I7:J7"/>
    <mergeCell ref="A22:D22"/>
    <mergeCell ref="A25:D25"/>
    <mergeCell ref="A28:D28"/>
    <mergeCell ref="A31:D31"/>
    <mergeCell ref="A30:D30"/>
    <mergeCell ref="A13:D13"/>
    <mergeCell ref="A18:D18"/>
    <mergeCell ref="A20:D20"/>
    <mergeCell ref="A14:D14"/>
    <mergeCell ref="A19:D19"/>
  </mergeCells>
  <dataValidations count="2">
    <dataValidation allowBlank="1" showInputMessage="1" showErrorMessage="1" promptTitle="BrutoDobit" prompt="Bruto dobit prema Bilansu uspeha, ne obuhvata otplatu glavice." sqref="A34:D34"/>
    <dataValidation allowBlank="1" showInputMessage="1" showErrorMessage="1" promptTitle="CashFlow" prompt="Ne obuhvata amortizaciju, ali obuhvata otplatu glavnice." sqref="A39"/>
  </dataValidations>
  <hyperlinks>
    <hyperlink ref="I7:J7" location="Anuiteti!I4" display="NAZAD"/>
    <hyperlink ref="N7:O7" location="EkonIndikatori!A1" display="DALJE"/>
  </hyperlink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3:Y66"/>
  <sheetViews>
    <sheetView zoomScale="80" zoomScaleNormal="80" workbookViewId="0">
      <selection activeCell="F16" sqref="F16"/>
    </sheetView>
  </sheetViews>
  <sheetFormatPr defaultRowHeight="15" x14ac:dyDescent="0.25"/>
  <cols>
    <col min="4" max="4" width="14" customWidth="1"/>
    <col min="5" max="5" width="12.140625" customWidth="1"/>
    <col min="6" max="6" width="11.42578125" customWidth="1"/>
    <col min="7" max="7" width="11.28515625" customWidth="1"/>
    <col min="8" max="8" width="12.42578125" customWidth="1"/>
    <col min="9" max="9" width="12" customWidth="1"/>
    <col min="10" max="10" width="12.140625" customWidth="1"/>
    <col min="11" max="11" width="11.7109375" customWidth="1"/>
    <col min="12" max="12" width="11.5703125" customWidth="1"/>
    <col min="13" max="13" width="11.85546875" customWidth="1"/>
    <col min="14" max="14" width="12.42578125" customWidth="1"/>
    <col min="15" max="15" width="12" customWidth="1"/>
    <col min="16" max="16" width="12.42578125" customWidth="1"/>
    <col min="17" max="17" width="11.5703125" customWidth="1"/>
    <col min="18" max="19" width="14.5703125" customWidth="1"/>
    <col min="20" max="20" width="13.140625" customWidth="1"/>
    <col min="21" max="21" width="12.85546875" customWidth="1"/>
    <col min="22" max="22" width="12.7109375" customWidth="1"/>
    <col min="23" max="23" width="13.85546875" customWidth="1"/>
    <col min="24" max="24" width="14" customWidth="1"/>
    <col min="25" max="25" width="14.7109375" customWidth="1"/>
  </cols>
  <sheetData>
    <row r="3" spans="1:25" x14ac:dyDescent="0.25">
      <c r="M3">
        <f>+CARBON</f>
        <v>0.49399999999999999</v>
      </c>
    </row>
    <row r="4" spans="1:25" x14ac:dyDescent="0.25">
      <c r="F4" t="s">
        <v>154</v>
      </c>
      <c r="M4">
        <f>+Biomass</f>
        <v>265.95744680851061</v>
      </c>
    </row>
    <row r="7" spans="1:25" ht="21" x14ac:dyDescent="0.35">
      <c r="A7" s="79" t="s">
        <v>191</v>
      </c>
      <c r="B7" s="79"/>
      <c r="C7" s="79"/>
      <c r="D7" s="79"/>
      <c r="I7" s="76" t="s">
        <v>139</v>
      </c>
      <c r="J7" s="76"/>
      <c r="N7" s="78" t="s">
        <v>140</v>
      </c>
      <c r="O7" s="78"/>
    </row>
    <row r="9" spans="1:25" x14ac:dyDescent="0.25">
      <c r="A9" s="60" t="s">
        <v>119</v>
      </c>
      <c r="B9" s="60"/>
      <c r="C9" s="60"/>
      <c r="D9" s="60"/>
      <c r="E9" s="16">
        <v>0</v>
      </c>
      <c r="F9" s="16">
        <v>1</v>
      </c>
      <c r="G9" s="16">
        <f>IF(F9&lt;UnosPodataka!$M$25,'FinInd+CO2'!F9+1,"")</f>
        <v>2</v>
      </c>
      <c r="H9" s="16">
        <f>IF(G9&lt;UnosPodataka!$M$25,'FinInd+CO2'!G9+1,"")</f>
        <v>3</v>
      </c>
      <c r="I9" s="16">
        <f>IF(H9&lt;UnosPodataka!$M$25,'FinInd+CO2'!H9+1,"")</f>
        <v>4</v>
      </c>
      <c r="J9" s="16">
        <f>IF(I9&lt;UnosPodataka!$M$25,'FinInd+CO2'!I9+1,"")</f>
        <v>5</v>
      </c>
      <c r="K9" s="16">
        <f>IF(J9&lt;UnosPodataka!$M$25,'FinInd+CO2'!J9+1,"")</f>
        <v>6</v>
      </c>
      <c r="L9" s="16">
        <f>IF(K9&lt;UnosPodataka!$M$25,'FinInd+CO2'!K9+1,"")</f>
        <v>7</v>
      </c>
      <c r="M9" s="16">
        <f>IF(L9&lt;UnosPodataka!$M$25,'FinInd+CO2'!L9+1,"")</f>
        <v>8</v>
      </c>
      <c r="N9" s="16">
        <f>IF(M9&lt;UnosPodataka!$M$25,'FinInd+CO2'!M9+1,"")</f>
        <v>9</v>
      </c>
      <c r="O9" s="16">
        <f>IF(N9&lt;UnosPodataka!$M$25,'FinInd+CO2'!N9+1,"")</f>
        <v>10</v>
      </c>
      <c r="P9" s="16">
        <f>IF(O9&lt;UnosPodataka!$M$25,'FinInd+CO2'!O9+1,"")</f>
        <v>11</v>
      </c>
      <c r="Q9" s="16">
        <f>IF(P9&lt;UnosPodataka!$M$25,'FinInd+CO2'!P9+1,"")</f>
        <v>12</v>
      </c>
      <c r="R9" s="16">
        <f>IF(Q9&lt;UnosPodataka!$M$25,'FinInd+CO2'!Q9+1,"")</f>
        <v>13</v>
      </c>
      <c r="S9" s="16">
        <f>IF(R9&lt;UnosPodataka!$M$25,'FinInd+CO2'!R9+1,"")</f>
        <v>14</v>
      </c>
      <c r="T9" s="16">
        <f>IF(S9&lt;UnosPodataka!$M$25,'FinInd+CO2'!S9+1,"")</f>
        <v>15</v>
      </c>
      <c r="U9" s="16">
        <f>IF(T9&lt;UnosPodataka!$M$25,'FinInd+CO2'!T9+1,"")</f>
        <v>16</v>
      </c>
      <c r="V9" s="16">
        <f>IF(U9&lt;UnosPodataka!$M$25,'FinInd+CO2'!U9+1,"")</f>
        <v>17</v>
      </c>
      <c r="W9" s="16">
        <f>IF(V9&lt;UnosPodataka!$M$25,'FinInd+CO2'!V9+1,"")</f>
        <v>18</v>
      </c>
      <c r="X9" s="16">
        <f>IF(W9&lt;UnosPodataka!$M$25,'FinInd+CO2'!W9+1,"")</f>
        <v>19</v>
      </c>
      <c r="Y9" s="16">
        <f>IF(X9&lt;UnosPodataka!$M$25,'FinInd+CO2'!X9+1,"")</f>
        <v>20</v>
      </c>
    </row>
    <row r="11" spans="1:25" x14ac:dyDescent="0.25">
      <c r="A11" s="69" t="s">
        <v>102</v>
      </c>
      <c r="B11" s="69"/>
      <c r="C11" s="69"/>
      <c r="D11" s="69"/>
      <c r="E11" s="3">
        <f>Loan</f>
        <v>148000</v>
      </c>
    </row>
    <row r="12" spans="1:25" x14ac:dyDescent="0.25">
      <c r="A12" s="69" t="s">
        <v>103</v>
      </c>
      <c r="B12" s="69"/>
      <c r="C12" s="69"/>
      <c r="D12" s="69"/>
      <c r="E12" s="3">
        <f>IF(Equity=0,Loan,Equity)</f>
        <v>50000</v>
      </c>
    </row>
    <row r="13" spans="1:25" x14ac:dyDescent="0.25">
      <c r="A13" s="69" t="s">
        <v>155</v>
      </c>
      <c r="B13" s="69"/>
      <c r="C13" s="69"/>
      <c r="D13" s="69"/>
      <c r="E13" s="3">
        <f>+UnosPodataka!F22</f>
        <v>45000</v>
      </c>
    </row>
    <row r="14" spans="1:25" x14ac:dyDescent="0.25">
      <c r="A14" s="69" t="s">
        <v>104</v>
      </c>
      <c r="B14" s="69"/>
      <c r="C14" s="69"/>
      <c r="D14" s="69"/>
      <c r="F14" s="3">
        <f t="shared" ref="F14:Y14" si="0">IF(F9&lt;&gt;"",HEAT,"")</f>
        <v>1100</v>
      </c>
      <c r="G14" s="3">
        <f t="shared" si="0"/>
        <v>1100</v>
      </c>
      <c r="H14" s="3">
        <f t="shared" si="0"/>
        <v>1100</v>
      </c>
      <c r="I14" s="3">
        <f t="shared" si="0"/>
        <v>1100</v>
      </c>
      <c r="J14" s="3">
        <f t="shared" si="0"/>
        <v>1100</v>
      </c>
      <c r="K14" s="3">
        <f t="shared" si="0"/>
        <v>1100</v>
      </c>
      <c r="L14" s="3">
        <f t="shared" si="0"/>
        <v>1100</v>
      </c>
      <c r="M14" s="3">
        <f t="shared" si="0"/>
        <v>1100</v>
      </c>
      <c r="N14" s="3">
        <f t="shared" si="0"/>
        <v>1100</v>
      </c>
      <c r="O14" s="3">
        <f t="shared" si="0"/>
        <v>1100</v>
      </c>
      <c r="P14" s="3">
        <f t="shared" si="0"/>
        <v>1100</v>
      </c>
      <c r="Q14" s="3">
        <f t="shared" si="0"/>
        <v>1100</v>
      </c>
      <c r="R14" s="3">
        <f t="shared" si="0"/>
        <v>1100</v>
      </c>
      <c r="S14" s="3">
        <f t="shared" si="0"/>
        <v>1100</v>
      </c>
      <c r="T14" s="3">
        <f t="shared" si="0"/>
        <v>1100</v>
      </c>
      <c r="U14" s="3">
        <f t="shared" si="0"/>
        <v>1100</v>
      </c>
      <c r="V14" s="3">
        <f t="shared" si="0"/>
        <v>1100</v>
      </c>
      <c r="W14" s="3">
        <f t="shared" si="0"/>
        <v>1100</v>
      </c>
      <c r="X14" s="3">
        <f t="shared" si="0"/>
        <v>1100</v>
      </c>
      <c r="Y14" s="3">
        <f t="shared" si="0"/>
        <v>1100</v>
      </c>
    </row>
    <row r="15" spans="1:25" x14ac:dyDescent="0.25">
      <c r="A15" s="69" t="s">
        <v>105</v>
      </c>
      <c r="B15" s="69"/>
      <c r="C15" s="69"/>
      <c r="D15" s="69"/>
      <c r="F15" s="3">
        <f t="shared" ref="F15:Y15" si="1">IF(F9&lt;&gt;"",EPOW*WHOUR,"")</f>
        <v>22</v>
      </c>
      <c r="G15" s="3">
        <f t="shared" si="1"/>
        <v>22</v>
      </c>
      <c r="H15" s="3">
        <f t="shared" si="1"/>
        <v>22</v>
      </c>
      <c r="I15" s="3">
        <f t="shared" si="1"/>
        <v>22</v>
      </c>
      <c r="J15" s="3">
        <f t="shared" si="1"/>
        <v>22</v>
      </c>
      <c r="K15" s="3">
        <f t="shared" si="1"/>
        <v>22</v>
      </c>
      <c r="L15" s="3">
        <f t="shared" si="1"/>
        <v>22</v>
      </c>
      <c r="M15" s="3">
        <f t="shared" si="1"/>
        <v>22</v>
      </c>
      <c r="N15" s="3">
        <f t="shared" si="1"/>
        <v>22</v>
      </c>
      <c r="O15" s="3">
        <f t="shared" si="1"/>
        <v>22</v>
      </c>
      <c r="P15" s="3">
        <f t="shared" si="1"/>
        <v>22</v>
      </c>
      <c r="Q15" s="3">
        <f t="shared" si="1"/>
        <v>22</v>
      </c>
      <c r="R15" s="3">
        <f t="shared" si="1"/>
        <v>22</v>
      </c>
      <c r="S15" s="3">
        <f t="shared" si="1"/>
        <v>22</v>
      </c>
      <c r="T15" s="3">
        <f t="shared" si="1"/>
        <v>22</v>
      </c>
      <c r="U15" s="3">
        <f t="shared" si="1"/>
        <v>22</v>
      </c>
      <c r="V15" s="3">
        <f t="shared" si="1"/>
        <v>22</v>
      </c>
      <c r="W15" s="3">
        <f t="shared" si="1"/>
        <v>22</v>
      </c>
      <c r="X15" s="3">
        <f t="shared" si="1"/>
        <v>22</v>
      </c>
      <c r="Y15" s="3">
        <f t="shared" si="1"/>
        <v>22</v>
      </c>
    </row>
    <row r="16" spans="1:25" ht="18" x14ac:dyDescent="0.35">
      <c r="A16" s="69" t="s">
        <v>216</v>
      </c>
      <c r="B16" s="69"/>
      <c r="C16" s="69"/>
      <c r="D16" s="69"/>
      <c r="F16" s="3">
        <f>IF(KonvFaktor!$E$21&lt;PomTab1!$Q$34,Gorivo!$D$25,Gorivo!$D$26)</f>
        <v>-208.96710473380719</v>
      </c>
      <c r="G16" s="3">
        <f>IF(KonvFaktor!$E$21&lt;PomTab1!$Q$34,Gorivo!$D$25,Gorivo!$D$26)</f>
        <v>-208.96710473380719</v>
      </c>
      <c r="H16" s="3">
        <f>IF(KonvFaktor!$E$21&lt;PomTab1!$Q$34,Gorivo!$D$25,Gorivo!$D$26)</f>
        <v>-208.96710473380719</v>
      </c>
      <c r="I16" s="3">
        <f>IF(KonvFaktor!$E$21&lt;PomTab1!$Q$34,Gorivo!$D$25,Gorivo!$D$26)</f>
        <v>-208.96710473380719</v>
      </c>
      <c r="J16" s="3">
        <f>IF(KonvFaktor!$E$21&lt;PomTab1!$Q$34,Gorivo!$D$25,Gorivo!$D$26)</f>
        <v>-208.96710473380719</v>
      </c>
      <c r="K16" s="3">
        <f>IF(KonvFaktor!$E$21&lt;PomTab1!$Q$34,Gorivo!$D$25,Gorivo!$D$26)</f>
        <v>-208.96710473380719</v>
      </c>
      <c r="L16" s="3">
        <f>IF(KonvFaktor!$E$21&lt;PomTab1!$Q$34,Gorivo!$D$25,Gorivo!$D$26)</f>
        <v>-208.96710473380719</v>
      </c>
      <c r="M16" s="3">
        <f>IF(KonvFaktor!$E$21&lt;PomTab1!$Q$34,Gorivo!$D$25,Gorivo!$D$26)</f>
        <v>-208.96710473380719</v>
      </c>
      <c r="N16" s="3">
        <f>IF(KonvFaktor!$E$21&lt;PomTab1!$Q$34,Gorivo!$D$25,Gorivo!$D$26)</f>
        <v>-208.96710473380719</v>
      </c>
      <c r="O16" s="3">
        <f>IF(KonvFaktor!$E$21&lt;PomTab1!$Q$34,Gorivo!$D$25,Gorivo!$D$26)</f>
        <v>-208.96710473380719</v>
      </c>
      <c r="P16" s="3">
        <f>IF(KonvFaktor!$E$21&lt;PomTab1!$Q$34,Gorivo!$D$25,Gorivo!$D$26)</f>
        <v>-208.96710473380719</v>
      </c>
      <c r="Q16" s="3">
        <f>IF(KonvFaktor!$E$21&lt;PomTab1!$Q$34,Gorivo!$D$25,Gorivo!$D$26)</f>
        <v>-208.96710473380719</v>
      </c>
      <c r="R16" s="3">
        <f>IF(KonvFaktor!$E$21&lt;PomTab1!$Q$34,Gorivo!$D$25,Gorivo!$D$26)</f>
        <v>-208.96710473380719</v>
      </c>
      <c r="S16" s="3">
        <f>IF(KonvFaktor!$E$21&lt;PomTab1!$Q$34,Gorivo!$D$25,Gorivo!$D$26)</f>
        <v>-208.96710473380719</v>
      </c>
      <c r="T16" s="3">
        <f>IF(KonvFaktor!$E$21&lt;PomTab1!$Q$34,Gorivo!$D$25,Gorivo!$D$26)</f>
        <v>-208.96710473380719</v>
      </c>
      <c r="U16" s="3">
        <f>IF(KonvFaktor!$E$21&lt;PomTab1!$Q$34,Gorivo!$D$25,Gorivo!$D$26)</f>
        <v>-208.96710473380719</v>
      </c>
      <c r="V16" s="3">
        <f>IF(KonvFaktor!$E$21&lt;PomTab1!$Q$34,Gorivo!$D$25,Gorivo!$D$26)</f>
        <v>-208.96710473380719</v>
      </c>
      <c r="W16" s="3">
        <f>IF(KonvFaktor!$E$21&lt;PomTab1!$Q$34,Gorivo!$D$25,Gorivo!$D$26)</f>
        <v>-208.96710473380719</v>
      </c>
      <c r="X16" s="3">
        <f>IF(KonvFaktor!$E$21&lt;PomTab1!$Q$34,Gorivo!$D$25,Gorivo!$D$26)</f>
        <v>-208.96710473380719</v>
      </c>
      <c r="Y16" s="3">
        <f>IF(KonvFaktor!$E$21&lt;PomTab1!$Q$34,Gorivo!$D$25,Gorivo!$D$26)</f>
        <v>-208.96710473380719</v>
      </c>
    </row>
    <row r="17" spans="1:25" x14ac:dyDescent="0.25">
      <c r="A17" s="54" t="s">
        <v>217</v>
      </c>
      <c r="B17" s="54"/>
      <c r="C17" s="54"/>
      <c r="D17" s="54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</row>
    <row r="18" spans="1:25" x14ac:dyDescent="0.25">
      <c r="A18" s="21" t="s">
        <v>218</v>
      </c>
      <c r="B18" s="21"/>
      <c r="C18" s="21"/>
      <c r="D18" s="21"/>
      <c r="F18" s="3">
        <f>SUM(HEAT*(PomTab1!Q34-KonvFaktor!E21))</f>
        <v>280.53289526619284</v>
      </c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</row>
    <row r="19" spans="1:25" x14ac:dyDescent="0.25">
      <c r="A19" s="60" t="s">
        <v>157</v>
      </c>
      <c r="B19" s="60"/>
      <c r="C19" s="60"/>
      <c r="D19" s="60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</row>
    <row r="20" spans="1:25" x14ac:dyDescent="0.25">
      <c r="A20" s="69" t="s">
        <v>106</v>
      </c>
      <c r="B20" s="69"/>
      <c r="C20" s="69"/>
      <c r="D20" s="69"/>
      <c r="F20" s="3">
        <f t="shared" ref="F20:Y20" si="2">IF(F9&lt;&gt;"",F14*etagrid*HPrice/Kurs_EUR,"")</f>
        <v>75122.77470841007</v>
      </c>
      <c r="G20" s="3">
        <f t="shared" si="2"/>
        <v>75122.77470841007</v>
      </c>
      <c r="H20" s="3">
        <f t="shared" si="2"/>
        <v>75122.77470841007</v>
      </c>
      <c r="I20" s="3">
        <f t="shared" si="2"/>
        <v>75122.77470841007</v>
      </c>
      <c r="J20" s="3">
        <f t="shared" si="2"/>
        <v>75122.77470841007</v>
      </c>
      <c r="K20" s="3">
        <f t="shared" si="2"/>
        <v>75122.77470841007</v>
      </c>
      <c r="L20" s="3">
        <f t="shared" si="2"/>
        <v>75122.77470841007</v>
      </c>
      <c r="M20" s="3">
        <f t="shared" si="2"/>
        <v>75122.77470841007</v>
      </c>
      <c r="N20" s="3">
        <f t="shared" si="2"/>
        <v>75122.77470841007</v>
      </c>
      <c r="O20" s="3">
        <f t="shared" si="2"/>
        <v>75122.77470841007</v>
      </c>
      <c r="P20" s="3">
        <f t="shared" si="2"/>
        <v>75122.77470841007</v>
      </c>
      <c r="Q20" s="3">
        <f t="shared" si="2"/>
        <v>75122.77470841007</v>
      </c>
      <c r="R20" s="3">
        <f t="shared" si="2"/>
        <v>75122.77470841007</v>
      </c>
      <c r="S20" s="3">
        <f t="shared" si="2"/>
        <v>75122.77470841007</v>
      </c>
      <c r="T20" s="3">
        <f t="shared" si="2"/>
        <v>75122.77470841007</v>
      </c>
      <c r="U20" s="3">
        <f t="shared" si="2"/>
        <v>75122.77470841007</v>
      </c>
      <c r="V20" s="3">
        <f t="shared" si="2"/>
        <v>75122.77470841007</v>
      </c>
      <c r="W20" s="3">
        <f t="shared" si="2"/>
        <v>75122.77470841007</v>
      </c>
      <c r="X20" s="3">
        <f t="shared" si="2"/>
        <v>75122.77470841007</v>
      </c>
      <c r="Y20" s="3">
        <f t="shared" si="2"/>
        <v>75122.77470841007</v>
      </c>
    </row>
    <row r="21" spans="1:25" ht="18" x14ac:dyDescent="0.35">
      <c r="A21" s="69" t="s">
        <v>121</v>
      </c>
      <c r="B21" s="69"/>
      <c r="C21" s="69"/>
      <c r="D21" s="69"/>
      <c r="F21" s="3">
        <f t="shared" ref="F21:Y21" si="3">IF(F9&lt;&gt;"",ABS(F16)*CO2Tax,"")</f>
        <v>20361.754685262171</v>
      </c>
      <c r="G21" s="3">
        <f t="shared" si="3"/>
        <v>20361.754685262171</v>
      </c>
      <c r="H21" s="3">
        <f t="shared" si="3"/>
        <v>20361.754685262171</v>
      </c>
      <c r="I21" s="3">
        <f t="shared" si="3"/>
        <v>20361.754685262171</v>
      </c>
      <c r="J21" s="3">
        <f t="shared" si="3"/>
        <v>20361.754685262171</v>
      </c>
      <c r="K21" s="3">
        <f t="shared" si="3"/>
        <v>20361.754685262171</v>
      </c>
      <c r="L21" s="3">
        <f t="shared" si="3"/>
        <v>20361.754685262171</v>
      </c>
      <c r="M21" s="3">
        <f t="shared" si="3"/>
        <v>20361.754685262171</v>
      </c>
      <c r="N21" s="3">
        <f t="shared" si="3"/>
        <v>20361.754685262171</v>
      </c>
      <c r="O21" s="3">
        <f t="shared" si="3"/>
        <v>20361.754685262171</v>
      </c>
      <c r="P21" s="3">
        <f t="shared" si="3"/>
        <v>20361.754685262171</v>
      </c>
      <c r="Q21" s="3">
        <f t="shared" si="3"/>
        <v>20361.754685262171</v>
      </c>
      <c r="R21" s="3">
        <f t="shared" si="3"/>
        <v>20361.754685262171</v>
      </c>
      <c r="S21" s="3">
        <f t="shared" si="3"/>
        <v>20361.754685262171</v>
      </c>
      <c r="T21" s="3">
        <f t="shared" si="3"/>
        <v>20361.754685262171</v>
      </c>
      <c r="U21" s="3">
        <f t="shared" si="3"/>
        <v>20361.754685262171</v>
      </c>
      <c r="V21" s="3">
        <f t="shared" si="3"/>
        <v>20361.754685262171</v>
      </c>
      <c r="W21" s="3">
        <f t="shared" si="3"/>
        <v>20361.754685262171</v>
      </c>
      <c r="X21" s="3">
        <f t="shared" si="3"/>
        <v>20361.754685262171</v>
      </c>
      <c r="Y21" s="3">
        <f t="shared" si="3"/>
        <v>20361.754685262171</v>
      </c>
    </row>
    <row r="22" spans="1:25" x14ac:dyDescent="0.25">
      <c r="A22" s="77" t="s">
        <v>122</v>
      </c>
      <c r="B22" s="77"/>
      <c r="C22" s="77"/>
      <c r="D22" s="77"/>
      <c r="E22" s="30"/>
      <c r="F22" s="29">
        <f t="shared" ref="F22:Y22" si="4">IF(F9&lt;&gt;"",F20+F21,"")</f>
        <v>95484.529393672245</v>
      </c>
      <c r="G22" s="29">
        <f t="shared" si="4"/>
        <v>95484.529393672245</v>
      </c>
      <c r="H22" s="29">
        <f t="shared" si="4"/>
        <v>95484.529393672245</v>
      </c>
      <c r="I22" s="29">
        <f t="shared" si="4"/>
        <v>95484.529393672245</v>
      </c>
      <c r="J22" s="29">
        <f t="shared" si="4"/>
        <v>95484.529393672245</v>
      </c>
      <c r="K22" s="29">
        <f t="shared" si="4"/>
        <v>95484.529393672245</v>
      </c>
      <c r="L22" s="29">
        <f t="shared" si="4"/>
        <v>95484.529393672245</v>
      </c>
      <c r="M22" s="29">
        <f t="shared" si="4"/>
        <v>95484.529393672245</v>
      </c>
      <c r="N22" s="29">
        <f t="shared" si="4"/>
        <v>95484.529393672245</v>
      </c>
      <c r="O22" s="29">
        <f t="shared" si="4"/>
        <v>95484.529393672245</v>
      </c>
      <c r="P22" s="29">
        <f t="shared" si="4"/>
        <v>95484.529393672245</v>
      </c>
      <c r="Q22" s="29">
        <f t="shared" si="4"/>
        <v>95484.529393672245</v>
      </c>
      <c r="R22" s="29">
        <f t="shared" si="4"/>
        <v>95484.529393672245</v>
      </c>
      <c r="S22" s="29">
        <f t="shared" si="4"/>
        <v>95484.529393672245</v>
      </c>
      <c r="T22" s="29">
        <f t="shared" si="4"/>
        <v>95484.529393672245</v>
      </c>
      <c r="U22" s="29">
        <f t="shared" si="4"/>
        <v>95484.529393672245</v>
      </c>
      <c r="V22" s="29">
        <f t="shared" si="4"/>
        <v>95484.529393672245</v>
      </c>
      <c r="W22" s="29">
        <f t="shared" si="4"/>
        <v>95484.529393672245</v>
      </c>
      <c r="X22" s="29">
        <f t="shared" si="4"/>
        <v>95484.529393672245</v>
      </c>
      <c r="Y22" s="29">
        <f t="shared" si="4"/>
        <v>95484.529393672245</v>
      </c>
    </row>
    <row r="23" spans="1:25" x14ac:dyDescent="0.25"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</row>
    <row r="24" spans="1:25" x14ac:dyDescent="0.25">
      <c r="A24" s="60" t="s">
        <v>158</v>
      </c>
      <c r="B24" s="60"/>
      <c r="C24" s="60"/>
      <c r="D24" s="60"/>
    </row>
    <row r="25" spans="1:25" x14ac:dyDescent="0.25">
      <c r="A25" s="69" t="s">
        <v>123</v>
      </c>
      <c r="B25" s="69"/>
      <c r="C25" s="69"/>
      <c r="D25" s="69"/>
      <c r="F25" s="3">
        <f>IF(F9&gt;UnosPodataka!$M$22,"",-VLOOKUP(F9,Anuiteti!$B$14:$E$33,3,FALSE))</f>
        <v>-17760</v>
      </c>
      <c r="G25" s="3">
        <f>IF(G9&gt;UnosPodataka!$M$22,"",-VLOOKUP(G9,Anuiteti!$B$14:$E$33,3,FALSE))</f>
        <v>-16316.061537151578</v>
      </c>
      <c r="H25" s="3">
        <f>IF(H9&gt;UnosPodataka!$M$22,"",-VLOOKUP(H9,Anuiteti!$B$14:$E$33,3,FALSE))</f>
        <v>-14698.850458761346</v>
      </c>
      <c r="I25" s="3">
        <f>IF(I9&gt;UnosPodataka!$M$22,"",-VLOOKUP(I9,Anuiteti!$B$14:$E$33,3,FALSE))</f>
        <v>-12887.574050964286</v>
      </c>
      <c r="J25" s="3">
        <f>IF(J9&gt;UnosPodataka!$M$22,"",-VLOOKUP(J9,Anuiteti!$B$14:$E$33,3,FALSE))</f>
        <v>-10858.944474231579</v>
      </c>
      <c r="K25" s="3">
        <f>IF(K9&gt;UnosPodataka!$M$22,"",-VLOOKUP(K9,Anuiteti!$B$14:$E$33,3,FALSE))</f>
        <v>-8586.8793482909477</v>
      </c>
      <c r="L25" s="3">
        <f>IF(L9&gt;UnosPodataka!$M$22,"",-VLOOKUP(L9,Anuiteti!$B$14:$E$33,3,FALSE))</f>
        <v>-6042.1664072374424</v>
      </c>
      <c r="M25" s="3">
        <f>IF(M9&gt;UnosPodataka!$M$22,"",-VLOOKUP(M9,Anuiteti!$B$14:$E$33,3,FALSE))</f>
        <v>-3192.0879132575142</v>
      </c>
      <c r="N25" s="3" t="str">
        <f>IF(N9&gt;UnosPodataka!$M$22,"",-VLOOKUP(N9,Anuiteti!$B$14:$E$33,3,FALSE))</f>
        <v/>
      </c>
      <c r="O25" s="3" t="str">
        <f>IF(O9&gt;UnosPodataka!$M$22,"",-VLOOKUP(O9,Anuiteti!$B$14:$E$33,3,FALSE))</f>
        <v/>
      </c>
      <c r="P25" s="3" t="str">
        <f>IF(P9&gt;UnosPodataka!$M$22,"",-VLOOKUP(P9,Anuiteti!$B$14:$E$33,3,FALSE))</f>
        <v/>
      </c>
      <c r="Q25" s="3" t="str">
        <f>IF(Q9&gt;UnosPodataka!$M$22,"",-VLOOKUP(Q9,Anuiteti!$B$14:$E$33,3,FALSE))</f>
        <v/>
      </c>
      <c r="R25" s="3" t="str">
        <f>IF(R9&gt;UnosPodataka!$M$22,"",-VLOOKUP(R9,Anuiteti!$B$14:$E$33,3,FALSE))</f>
        <v/>
      </c>
      <c r="S25" s="3" t="str">
        <f>IF(S9&gt;UnosPodataka!$M$22,"",-VLOOKUP(S9,Anuiteti!$B$14:$E$33,3,FALSE))</f>
        <v/>
      </c>
      <c r="T25" s="3" t="str">
        <f>IF(T9&gt;UnosPodataka!$M$22,"",-VLOOKUP(T9,Anuiteti!$B$14:$E$33,3,FALSE))</f>
        <v/>
      </c>
      <c r="U25" s="3" t="str">
        <f>IF(U9&gt;UnosPodataka!$M$22,"",-VLOOKUP(U9,Anuiteti!$B$14:$E$33,3,FALSE))</f>
        <v/>
      </c>
      <c r="V25" s="3" t="str">
        <f>IF(V9&gt;UnosPodataka!$M$22,"",-VLOOKUP(V9,Anuiteti!$B$14:$E$33,3,FALSE))</f>
        <v/>
      </c>
      <c r="W25" s="3" t="str">
        <f>IF(W9&gt;UnosPodataka!$M$22,"",-VLOOKUP(W9,Anuiteti!$B$14:$E$33,3,FALSE))</f>
        <v/>
      </c>
      <c r="X25" s="3" t="str">
        <f>IF(X9&gt;UnosPodataka!$M$22,"",-VLOOKUP(X9,Anuiteti!$B$14:$E$33,3,FALSE))</f>
        <v/>
      </c>
      <c r="Y25" s="3" t="str">
        <f>IF(Y9&gt;UnosPodataka!$M$22,"",-VLOOKUP(Y9,Anuiteti!$B$14:$E$33,3,FALSE))</f>
        <v/>
      </c>
    </row>
    <row r="26" spans="1:25" x14ac:dyDescent="0.25">
      <c r="A26" s="21" t="s">
        <v>156</v>
      </c>
      <c r="B26" s="21"/>
      <c r="C26" s="21"/>
      <c r="D26" s="21"/>
      <c r="F26" s="3">
        <f>IF(F25="",0,IF(F9&gt;UnosPodataka!$M$25,"",VLOOKUP(F9,Anuiteti!$B$14:$E$32,4,FALSE)+VLOOKUP(F9,Anuiteti!$B$13:$E$32,3,FALSE)))</f>
        <v>-12032.820523736842</v>
      </c>
      <c r="G26" s="3">
        <f>IF(G25="",0,IF(G9&gt;UnosPodataka!$M$25,"",VLOOKUP(G9,Anuiteti!$B$14:$E$32,4,FALSE)+VLOOKUP(G9,Anuiteti!$B$13:$E$32,3,FALSE)))</f>
        <v>-13476.758986585264</v>
      </c>
      <c r="H26" s="3">
        <f>IF(H25="",0,IF(H9&gt;UnosPodataka!$M$25,"",VLOOKUP(H9,Anuiteti!$B$14:$E$32,4,FALSE)+VLOOKUP(H9,Anuiteti!$B$13:$E$32,3,FALSE)))</f>
        <v>-15093.970064975496</v>
      </c>
      <c r="I26" s="3">
        <f>IF(I25="",0,IF(I9&gt;UnosPodataka!$M$25,"",VLOOKUP(I9,Anuiteti!$B$14:$E$32,4,FALSE)+VLOOKUP(I9,Anuiteti!$B$13:$E$32,3,FALSE)))</f>
        <v>-16905.246472772556</v>
      </c>
      <c r="J26" s="3">
        <f>IF(J25="",0,IF(J9&gt;UnosPodataka!$M$25,"",VLOOKUP(J9,Anuiteti!$B$14:$E$32,4,FALSE)+VLOOKUP(J9,Anuiteti!$B$13:$E$32,3,FALSE)))</f>
        <v>-18933.876049505263</v>
      </c>
      <c r="K26" s="3">
        <f>IF(K25="",0,IF(K9&gt;UnosPodataka!$M$25,"",VLOOKUP(K9,Anuiteti!$B$14:$E$32,4,FALSE)+VLOOKUP(K9,Anuiteti!$B$13:$E$32,3,FALSE)))</f>
        <v>-21205.941175445892</v>
      </c>
      <c r="L26" s="3">
        <f>IF(L25="",0,IF(L9&gt;UnosPodataka!$M$25,"",VLOOKUP(L9,Anuiteti!$B$14:$E$32,4,FALSE)+VLOOKUP(L9,Anuiteti!$B$13:$E$32,3,FALSE)))</f>
        <v>-23750.654116499398</v>
      </c>
      <c r="M26" s="3">
        <f>IF(M25="",0,IF(M9&gt;UnosPodataka!$M$25,"",VLOOKUP(M9,Anuiteti!$B$14:$E$32,4,FALSE)+VLOOKUP(M9,Anuiteti!$B$13:$E$32,3,FALSE)))</f>
        <v>-26600.732610479328</v>
      </c>
      <c r="N26" s="3">
        <f>IF(N25="",0,IF(N9&gt;UnosPodataka!$M$25,"",VLOOKUP(N9,Anuiteti!$B$14:$E$32,4,FALSE)+VLOOKUP(N9,Anuiteti!$B$13:$E$32,3,FALSE)))</f>
        <v>0</v>
      </c>
      <c r="O26" s="3">
        <f>IF(O25="",0,IF(O9&gt;UnosPodataka!$M$25,"",VLOOKUP(O9,Anuiteti!$B$14:$E$32,4,FALSE)+VLOOKUP(O9,Anuiteti!$B$13:$E$32,3,FALSE)))</f>
        <v>0</v>
      </c>
      <c r="P26" s="3">
        <f>IF(P25="",0,IF(P9&gt;UnosPodataka!$M$25,"",VLOOKUP(P9,Anuiteti!$B$14:$E$32,4,FALSE)+VLOOKUP(P9,Anuiteti!$B$13:$E$32,3,FALSE)))</f>
        <v>0</v>
      </c>
      <c r="Q26" s="3">
        <f>IF(Q25="",0,IF(Q9&gt;UnosPodataka!$M$25,"",VLOOKUP(Q9,Anuiteti!$B$14:$E$32,4,FALSE)+VLOOKUP(Q9,Anuiteti!$B$13:$E$32,3,FALSE)))</f>
        <v>0</v>
      </c>
      <c r="R26" s="3">
        <f>IF(R25="",0,IF(R9&gt;UnosPodataka!$M$25,"",VLOOKUP(R9,Anuiteti!$B$14:$E$32,4,FALSE)+VLOOKUP(R9,Anuiteti!$B$13:$E$32,3,FALSE)))</f>
        <v>0</v>
      </c>
      <c r="S26" s="3">
        <f>IF(S25="",0,IF(S9&gt;UnosPodataka!$M$25,"",VLOOKUP(S9,Anuiteti!$B$14:$E$32,4,FALSE)+VLOOKUP(S9,Anuiteti!$B$13:$E$32,3,FALSE)))</f>
        <v>0</v>
      </c>
      <c r="T26" s="3">
        <f>IF(T25="",0,IF(T9&gt;UnosPodataka!$M$25,"",VLOOKUP(T9,Anuiteti!$B$14:$E$32,4,FALSE)+VLOOKUP(T9,Anuiteti!$B$13:$E$32,3,FALSE)))</f>
        <v>0</v>
      </c>
      <c r="U26" s="3">
        <f>IF(U25="",0,IF(U9&gt;UnosPodataka!$M$25,"",VLOOKUP(U9,Anuiteti!$B$14:$E$32,4,FALSE)+VLOOKUP(U9,Anuiteti!$B$13:$E$32,3,FALSE)))</f>
        <v>0</v>
      </c>
      <c r="V26" s="3">
        <f>IF(V25="",0,IF(V9&gt;UnosPodataka!$M$25,"",VLOOKUP(V9,Anuiteti!$B$14:$E$32,4,FALSE)+VLOOKUP(V9,Anuiteti!$B$13:$E$32,3,FALSE)))</f>
        <v>0</v>
      </c>
      <c r="W26" s="3">
        <f>IF(W25="",0,IF(W9&gt;UnosPodataka!$M$25,"",VLOOKUP(W9,Anuiteti!$B$14:$E$32,4,FALSE)+VLOOKUP(W9,Anuiteti!$B$13:$E$32,3,FALSE)))</f>
        <v>0</v>
      </c>
      <c r="X26" s="3">
        <f>IF(X25="",0,IF(X9&gt;UnosPodataka!$M$25,"",VLOOKUP(X9,Anuiteti!$B$14:$E$32,4,FALSE)+VLOOKUP(X9,Anuiteti!$B$13:$E$32,3,FALSE)))</f>
        <v>0</v>
      </c>
      <c r="Y26" s="3">
        <f>IF(Y25="",0,IF(Y9&gt;UnosPodataka!$M$25,"",VLOOKUP(Y9,Anuiteti!$B$14:$E$32,4,FALSE)+VLOOKUP(Y9,Anuiteti!$B$13:$E$32,3,FALSE)))</f>
        <v>0</v>
      </c>
    </row>
    <row r="27" spans="1:25" x14ac:dyDescent="0.25">
      <c r="A27" s="69" t="s">
        <v>109</v>
      </c>
      <c r="B27" s="69"/>
      <c r="C27" s="69"/>
      <c r="D27" s="69"/>
      <c r="F27" s="3">
        <f>IF(F9&lt;&gt;"",-UnosPodataka!$M$9,"")</f>
        <v>-2000</v>
      </c>
      <c r="G27" s="3">
        <f>IF(G9&lt;&gt;"",-UnosPodataka!$M$9,"")</f>
        <v>-2000</v>
      </c>
      <c r="H27" s="3">
        <f>IF(H9&lt;&gt;"",-UnosPodataka!$M$9,"")</f>
        <v>-2000</v>
      </c>
      <c r="I27" s="3">
        <f>IF(I9&lt;&gt;"",-UnosPodataka!$M$9,"")</f>
        <v>-2000</v>
      </c>
      <c r="J27" s="3">
        <f>IF(J9&lt;&gt;"",-UnosPodataka!$M$9,"")</f>
        <v>-2000</v>
      </c>
      <c r="K27" s="3">
        <f>IF(K9&lt;&gt;"",-UnosPodataka!$M$9,"")</f>
        <v>-2000</v>
      </c>
      <c r="L27" s="3">
        <f>IF(L9&lt;&gt;"",-UnosPodataka!$M$9,"")</f>
        <v>-2000</v>
      </c>
      <c r="M27" s="3">
        <f>IF(M9&lt;&gt;"",-UnosPodataka!$M$9,"")</f>
        <v>-2000</v>
      </c>
      <c r="N27" s="3">
        <f>IF(N9&lt;&gt;"",-UnosPodataka!$M$9,"")</f>
        <v>-2000</v>
      </c>
      <c r="O27" s="3">
        <f>IF(O9&lt;&gt;"",-UnosPodataka!$M$9,"")</f>
        <v>-2000</v>
      </c>
      <c r="P27" s="3">
        <f>IF(P9&lt;&gt;"",-UnosPodataka!$M$9,"")</f>
        <v>-2000</v>
      </c>
      <c r="Q27" s="3">
        <f>IF(Q9&lt;&gt;"",-UnosPodataka!$M$9,"")</f>
        <v>-2000</v>
      </c>
      <c r="R27" s="3">
        <f>IF(R9&lt;&gt;"",-UnosPodataka!$M$9,"")</f>
        <v>-2000</v>
      </c>
      <c r="S27" s="3">
        <f>IF(S9&lt;&gt;"",-UnosPodataka!$M$9,"")</f>
        <v>-2000</v>
      </c>
      <c r="T27" s="3">
        <f>IF(T9&lt;&gt;"",-UnosPodataka!$M$9,"")</f>
        <v>-2000</v>
      </c>
      <c r="U27" s="3">
        <f>IF(U9&lt;&gt;"",-UnosPodataka!$M$9,"")</f>
        <v>-2000</v>
      </c>
      <c r="V27" s="3">
        <f>IF(V9&lt;&gt;"",-UnosPodataka!$M$9,"")</f>
        <v>-2000</v>
      </c>
      <c r="W27" s="3">
        <f>IF(W9&lt;&gt;"",-UnosPodataka!$M$9,"")</f>
        <v>-2000</v>
      </c>
      <c r="X27" s="3">
        <f>IF(X9&lt;&gt;"",-UnosPodataka!$M$9,"")</f>
        <v>-2000</v>
      </c>
      <c r="Y27" s="3">
        <f>IF(Y9&lt;&gt;"",-UnosPodataka!$M$9,"")</f>
        <v>-2000</v>
      </c>
    </row>
    <row r="28" spans="1:25" x14ac:dyDescent="0.25">
      <c r="A28" s="69" t="s">
        <v>110</v>
      </c>
      <c r="B28" s="69"/>
      <c r="C28" s="69"/>
      <c r="D28" s="69"/>
      <c r="F28" s="3">
        <f>IF(F9&lt;&gt;"",-Investment*UnosPodataka!$M$11,"")</f>
        <v>-7290</v>
      </c>
      <c r="G28" s="3">
        <f>IF(G9&lt;&gt;"",-Investment*UnosPodataka!$M$11,"")</f>
        <v>-7290</v>
      </c>
      <c r="H28" s="3">
        <f>IF(H9&lt;&gt;"",-Investment*UnosPodataka!$M$11,"")</f>
        <v>-7290</v>
      </c>
      <c r="I28" s="3">
        <f>IF(I9&lt;&gt;"",-Investment*UnosPodataka!$M$11,"")</f>
        <v>-7290</v>
      </c>
      <c r="J28" s="3">
        <f>IF(J9&lt;&gt;"",-Investment*UnosPodataka!$M$11,"")</f>
        <v>-7290</v>
      </c>
      <c r="K28" s="3">
        <f>IF(K9&lt;&gt;"",-Investment*UnosPodataka!$M$11,"")</f>
        <v>-7290</v>
      </c>
      <c r="L28" s="3">
        <f>IF(L9&lt;&gt;"",-Investment*UnosPodataka!$M$11,"")</f>
        <v>-7290</v>
      </c>
      <c r="M28" s="3">
        <f>IF(M9&lt;&gt;"",-Investment*UnosPodataka!$M$11,"")</f>
        <v>-7290</v>
      </c>
      <c r="N28" s="3">
        <f>IF(N9&lt;&gt;"",-Investment*UnosPodataka!$M$11,"")</f>
        <v>-7290</v>
      </c>
      <c r="O28" s="3">
        <f>IF(O9&lt;&gt;"",-Investment*UnosPodataka!$M$11,"")</f>
        <v>-7290</v>
      </c>
      <c r="P28" s="3">
        <f>IF(P9&lt;&gt;"",-Investment*UnosPodataka!$M$11,"")</f>
        <v>-7290</v>
      </c>
      <c r="Q28" s="3">
        <f>IF(Q9&lt;&gt;"",-Investment*UnosPodataka!$M$11,"")</f>
        <v>-7290</v>
      </c>
      <c r="R28" s="3">
        <f>IF(R9&lt;&gt;"",-Investment*UnosPodataka!$M$11,"")</f>
        <v>-7290</v>
      </c>
      <c r="S28" s="3">
        <f>IF(S9&lt;&gt;"",-Investment*UnosPodataka!$M$11,"")</f>
        <v>-7290</v>
      </c>
      <c r="T28" s="3">
        <f>IF(T9&lt;&gt;"",-Investment*UnosPodataka!$M$11,"")</f>
        <v>-7290</v>
      </c>
      <c r="U28" s="3">
        <f>IF(U9&lt;&gt;"",-Investment*UnosPodataka!$M$11,"")</f>
        <v>-7290</v>
      </c>
      <c r="V28" s="3">
        <f>IF(V9&lt;&gt;"",-Investment*UnosPodataka!$M$11,"")</f>
        <v>-7290</v>
      </c>
      <c r="W28" s="3">
        <f>IF(W9&lt;&gt;"",-Investment*UnosPodataka!$M$11,"")</f>
        <v>-7290</v>
      </c>
      <c r="X28" s="3">
        <f>IF(X9&lt;&gt;"",-Investment*UnosPodataka!$M$11,"")</f>
        <v>-7290</v>
      </c>
      <c r="Y28" s="3">
        <f>IF(Y9&lt;&gt;"",-Investment*UnosPodataka!$M$11,"")</f>
        <v>-7290</v>
      </c>
    </row>
    <row r="29" spans="1:25" x14ac:dyDescent="0.25">
      <c r="A29" s="69" t="s">
        <v>111</v>
      </c>
      <c r="B29" s="69"/>
      <c r="C29" s="69"/>
      <c r="D29" s="69"/>
      <c r="F29" s="3">
        <f t="shared" ref="F29:Y29" si="5">IF(F9&lt;&gt;"",-Biomass*BMPrice/Kurs_EUR,"")</f>
        <v>-25850.171318609075</v>
      </c>
      <c r="G29" s="3">
        <f t="shared" si="5"/>
        <v>-25850.171318609075</v>
      </c>
      <c r="H29" s="3">
        <f t="shared" si="5"/>
        <v>-25850.171318609075</v>
      </c>
      <c r="I29" s="3">
        <f t="shared" si="5"/>
        <v>-25850.171318609075</v>
      </c>
      <c r="J29" s="3">
        <f t="shared" si="5"/>
        <v>-25850.171318609075</v>
      </c>
      <c r="K29" s="3">
        <f t="shared" si="5"/>
        <v>-25850.171318609075</v>
      </c>
      <c r="L29" s="3">
        <f t="shared" si="5"/>
        <v>-25850.171318609075</v>
      </c>
      <c r="M29" s="3">
        <f t="shared" si="5"/>
        <v>-25850.171318609075</v>
      </c>
      <c r="N29" s="3">
        <f t="shared" si="5"/>
        <v>-25850.171318609075</v>
      </c>
      <c r="O29" s="3">
        <f t="shared" si="5"/>
        <v>-25850.171318609075</v>
      </c>
      <c r="P29" s="3">
        <f t="shared" si="5"/>
        <v>-25850.171318609075</v>
      </c>
      <c r="Q29" s="3">
        <f t="shared" si="5"/>
        <v>-25850.171318609075</v>
      </c>
      <c r="R29" s="3">
        <f t="shared" si="5"/>
        <v>-25850.171318609075</v>
      </c>
      <c r="S29" s="3">
        <f t="shared" si="5"/>
        <v>-25850.171318609075</v>
      </c>
      <c r="T29" s="3">
        <f t="shared" si="5"/>
        <v>-25850.171318609075</v>
      </c>
      <c r="U29" s="3">
        <f t="shared" si="5"/>
        <v>-25850.171318609075</v>
      </c>
      <c r="V29" s="3">
        <f t="shared" si="5"/>
        <v>-25850.171318609075</v>
      </c>
      <c r="W29" s="3">
        <f t="shared" si="5"/>
        <v>-25850.171318609075</v>
      </c>
      <c r="X29" s="3">
        <f t="shared" si="5"/>
        <v>-25850.171318609075</v>
      </c>
      <c r="Y29" s="3">
        <f t="shared" si="5"/>
        <v>-25850.171318609075</v>
      </c>
    </row>
    <row r="30" spans="1:25" x14ac:dyDescent="0.25">
      <c r="A30" s="69" t="s">
        <v>124</v>
      </c>
      <c r="B30" s="69"/>
      <c r="C30" s="69"/>
      <c r="D30" s="69"/>
      <c r="F30" s="3">
        <f t="shared" ref="F30:Y30" si="6">IF(F9&lt;&gt;"",-EPOW*WHOUR*EPrice/Kurs_EUR,"")</f>
        <v>-2265.8754518791352</v>
      </c>
      <c r="G30" s="3">
        <f t="shared" si="6"/>
        <v>-2265.8754518791352</v>
      </c>
      <c r="H30" s="3">
        <f t="shared" si="6"/>
        <v>-2265.8754518791352</v>
      </c>
      <c r="I30" s="3">
        <f t="shared" si="6"/>
        <v>-2265.8754518791352</v>
      </c>
      <c r="J30" s="3">
        <f t="shared" si="6"/>
        <v>-2265.8754518791352</v>
      </c>
      <c r="K30" s="3">
        <f t="shared" si="6"/>
        <v>-2265.8754518791352</v>
      </c>
      <c r="L30" s="3">
        <f t="shared" si="6"/>
        <v>-2265.8754518791352</v>
      </c>
      <c r="M30" s="3">
        <f t="shared" si="6"/>
        <v>-2265.8754518791352</v>
      </c>
      <c r="N30" s="3">
        <f t="shared" si="6"/>
        <v>-2265.8754518791352</v>
      </c>
      <c r="O30" s="3">
        <f t="shared" si="6"/>
        <v>-2265.8754518791352</v>
      </c>
      <c r="P30" s="3">
        <f t="shared" si="6"/>
        <v>-2265.8754518791352</v>
      </c>
      <c r="Q30" s="3">
        <f t="shared" si="6"/>
        <v>-2265.8754518791352</v>
      </c>
      <c r="R30" s="3">
        <f t="shared" si="6"/>
        <v>-2265.8754518791352</v>
      </c>
      <c r="S30" s="3">
        <f t="shared" si="6"/>
        <v>-2265.8754518791352</v>
      </c>
      <c r="T30" s="3">
        <f t="shared" si="6"/>
        <v>-2265.8754518791352</v>
      </c>
      <c r="U30" s="3">
        <f t="shared" si="6"/>
        <v>-2265.8754518791352</v>
      </c>
      <c r="V30" s="3">
        <f t="shared" si="6"/>
        <v>-2265.8754518791352</v>
      </c>
      <c r="W30" s="3">
        <f t="shared" si="6"/>
        <v>-2265.8754518791352</v>
      </c>
      <c r="X30" s="3">
        <f t="shared" si="6"/>
        <v>-2265.8754518791352</v>
      </c>
      <c r="Y30" s="3">
        <f t="shared" si="6"/>
        <v>-2265.8754518791352</v>
      </c>
    </row>
    <row r="31" spans="1:25" x14ac:dyDescent="0.25">
      <c r="A31" s="69" t="s">
        <v>113</v>
      </c>
      <c r="B31" s="69"/>
      <c r="C31" s="69"/>
      <c r="D31" s="69"/>
      <c r="F31" s="3">
        <f>IF(F9&lt;&gt;"",-0.05*Biomass*TrosakEnergije!$J$20/Kurs_EUR,"")</f>
        <v>-136.05353325583724</v>
      </c>
      <c r="G31" s="3">
        <f>IF(G9&lt;&gt;"",-0.05*Biomass*TrosakEnergije!$J$20/Kurs_EUR,"")</f>
        <v>-136.05353325583724</v>
      </c>
      <c r="H31" s="3">
        <f>IF(H9&lt;&gt;"",-0.05*Biomass*TrosakEnergije!$J$20/Kurs_EUR,"")</f>
        <v>-136.05353325583724</v>
      </c>
      <c r="I31" s="3">
        <f>IF(I9&lt;&gt;"",-0.05*Biomass*TrosakEnergije!$J$20/Kurs_EUR,"")</f>
        <v>-136.05353325583724</v>
      </c>
      <c r="J31" s="3">
        <f>IF(J9&lt;&gt;"",-0.05*Biomass*TrosakEnergije!$J$20/Kurs_EUR,"")</f>
        <v>-136.05353325583724</v>
      </c>
      <c r="K31" s="3">
        <f>IF(K9&lt;&gt;"",-0.05*Biomass*TrosakEnergije!$J$20/Kurs_EUR,"")</f>
        <v>-136.05353325583724</v>
      </c>
      <c r="L31" s="3">
        <f>IF(L9&lt;&gt;"",-0.05*Biomass*TrosakEnergije!$J$20/Kurs_EUR,"")</f>
        <v>-136.05353325583724</v>
      </c>
      <c r="M31" s="3">
        <f>IF(M9&lt;&gt;"",-0.05*Biomass*TrosakEnergije!$J$20/Kurs_EUR,"")</f>
        <v>-136.05353325583724</v>
      </c>
      <c r="N31" s="3">
        <f>IF(N9&lt;&gt;"",-0.05*Biomass*TrosakEnergije!$J$20/Kurs_EUR,"")</f>
        <v>-136.05353325583724</v>
      </c>
      <c r="O31" s="3">
        <f>IF(O9&lt;&gt;"",-0.05*Biomass*TrosakEnergije!$J$20/Kurs_EUR,"")</f>
        <v>-136.05353325583724</v>
      </c>
      <c r="P31" s="3">
        <f>IF(P9&lt;&gt;"",-0.05*Biomass*TrosakEnergije!$J$20/Kurs_EUR,"")</f>
        <v>-136.05353325583724</v>
      </c>
      <c r="Q31" s="3">
        <f>IF(Q9&lt;&gt;"",-0.05*Biomass*TrosakEnergije!$J$20/Kurs_EUR,"")</f>
        <v>-136.05353325583724</v>
      </c>
      <c r="R31" s="3">
        <f>IF(R9&lt;&gt;"",-0.05*Biomass*TrosakEnergije!$J$20/Kurs_EUR,"")</f>
        <v>-136.05353325583724</v>
      </c>
      <c r="S31" s="3">
        <f>IF(S9&lt;&gt;"",-0.05*Biomass*TrosakEnergije!$J$20/Kurs_EUR,"")</f>
        <v>-136.05353325583724</v>
      </c>
      <c r="T31" s="3">
        <f>IF(T9&lt;&gt;"",-0.05*Biomass*TrosakEnergije!$J$20/Kurs_EUR,"")</f>
        <v>-136.05353325583724</v>
      </c>
      <c r="U31" s="3">
        <f>IF(U9&lt;&gt;"",-0.05*Biomass*TrosakEnergije!$J$20/Kurs_EUR,"")</f>
        <v>-136.05353325583724</v>
      </c>
      <c r="V31" s="3">
        <f>IF(V9&lt;&gt;"",-0.05*Biomass*TrosakEnergije!$J$20/Kurs_EUR,"")</f>
        <v>-136.05353325583724</v>
      </c>
      <c r="W31" s="3">
        <f>IF(W9&lt;&gt;"",-0.05*Biomass*TrosakEnergije!$J$20/Kurs_EUR,"")</f>
        <v>-136.05353325583724</v>
      </c>
      <c r="X31" s="3">
        <f>IF(X9&lt;&gt;"",-0.05*Biomass*TrosakEnergije!$J$20/Kurs_EUR,"")</f>
        <v>-136.05353325583724</v>
      </c>
      <c r="Y31" s="3">
        <f>IF(Y9&lt;&gt;"",-0.05*Biomass*TrosakEnergije!$J$20/Kurs_EUR,"")</f>
        <v>-136.05353325583724</v>
      </c>
    </row>
    <row r="32" spans="1:25" x14ac:dyDescent="0.25">
      <c r="A32" s="69" t="s">
        <v>159</v>
      </c>
      <c r="B32" s="69"/>
      <c r="C32" s="69"/>
      <c r="D32" s="69"/>
      <c r="F32" s="3">
        <f>IF(F9&lt;&gt;"",-Investment*UnosPodataka!$M$12,"")</f>
        <v>-12150</v>
      </c>
      <c r="G32" s="3">
        <f>IF(G9&lt;&gt;"",-Investment*UnosPodataka!$M$12,"")</f>
        <v>-12150</v>
      </c>
      <c r="H32" s="3">
        <f>IF(H9&lt;&gt;"",-Investment*UnosPodataka!$M$12,"")</f>
        <v>-12150</v>
      </c>
      <c r="I32" s="3">
        <f>IF(I9&lt;&gt;"",-Investment*UnosPodataka!$M$12,"")</f>
        <v>-12150</v>
      </c>
      <c r="J32" s="3">
        <f>IF(J9&lt;&gt;"",-Investment*UnosPodataka!$M$12,"")</f>
        <v>-12150</v>
      </c>
      <c r="K32" s="3">
        <f>IF(K9&lt;&gt;"",-Investment*UnosPodataka!$M$12,"")</f>
        <v>-12150</v>
      </c>
      <c r="L32" s="3">
        <f>IF(L9&lt;&gt;"",-Investment*UnosPodataka!$M$12,"")</f>
        <v>-12150</v>
      </c>
      <c r="M32" s="3">
        <f>IF(M9&lt;&gt;"",-Investment*UnosPodataka!$M$12,"")</f>
        <v>-12150</v>
      </c>
      <c r="N32" s="3">
        <f>IF(N9&lt;&gt;"",-Investment*UnosPodataka!$M$12,"")</f>
        <v>-12150</v>
      </c>
      <c r="O32" s="3">
        <f>IF(O9&lt;&gt;"",-Investment*UnosPodataka!$M$12,"")</f>
        <v>-12150</v>
      </c>
      <c r="P32" s="3">
        <f>IF(P9&lt;&gt;"",-Investment*UnosPodataka!$M$12,"")</f>
        <v>-12150</v>
      </c>
      <c r="Q32" s="3">
        <f>IF(Q9&lt;&gt;"",-Investment*UnosPodataka!$M$12,"")</f>
        <v>-12150</v>
      </c>
      <c r="R32" s="3">
        <f>IF(R9&lt;&gt;"",-Investment*UnosPodataka!$M$12,"")</f>
        <v>-12150</v>
      </c>
      <c r="S32" s="3">
        <f>IF(S9&lt;&gt;"",-Investment*UnosPodataka!$M$12,"")</f>
        <v>-12150</v>
      </c>
      <c r="T32" s="3">
        <f>IF(T9&lt;&gt;"",-Investment*UnosPodataka!$M$12,"")</f>
        <v>-12150</v>
      </c>
      <c r="U32" s="3">
        <f>IF(U9&lt;&gt;"",-Investment*UnosPodataka!$M$12,"")</f>
        <v>-12150</v>
      </c>
      <c r="V32" s="3">
        <f>IF(V9&lt;&gt;"",-Investment*UnosPodataka!$M$12,"")</f>
        <v>-12150</v>
      </c>
      <c r="W32" s="3">
        <f>IF(W9&lt;&gt;"",-Investment*UnosPodataka!$M$12,"")</f>
        <v>-12150</v>
      </c>
      <c r="X32" s="3">
        <f>IF(X9&lt;&gt;"",-Investment*UnosPodataka!$M$12,"")</f>
        <v>-12150</v>
      </c>
      <c r="Y32" s="3">
        <f>IF(Y9&lt;&gt;"",-Investment*UnosPodataka!$M$12,"")</f>
        <v>-12150</v>
      </c>
    </row>
    <row r="33" spans="1:25" x14ac:dyDescent="0.25">
      <c r="A33" s="69" t="s">
        <v>141</v>
      </c>
      <c r="B33" s="69"/>
      <c r="C33" s="69"/>
      <c r="D33" s="69"/>
      <c r="F33" s="3">
        <f>IF(F9&lt;&gt;"",-(1-UnosPodataka!$M$10)*'FinInd+CO2'!F20,"")</f>
        <v>0</v>
      </c>
      <c r="G33" s="3">
        <f>IF(G9&lt;&gt;"",-(1-UnosPodataka!$M$10)*'FinInd+CO2'!G20,"")</f>
        <v>0</v>
      </c>
      <c r="H33" s="3">
        <f>IF(H9&lt;&gt;"",-(1-UnosPodataka!$M$10)*'FinInd+CO2'!H20,"")</f>
        <v>0</v>
      </c>
      <c r="I33" s="3">
        <f>IF(I9&lt;&gt;"",-(1-UnosPodataka!$M$10)*'FinInd+CO2'!I20,"")</f>
        <v>0</v>
      </c>
      <c r="J33" s="3">
        <f>IF(J9&lt;&gt;"",-(1-UnosPodataka!$M$10)*'FinInd+CO2'!J20,"")</f>
        <v>0</v>
      </c>
      <c r="K33" s="3">
        <f>IF(K9&lt;&gt;"",-(1-UnosPodataka!$M$10)*'FinInd+CO2'!K20,"")</f>
        <v>0</v>
      </c>
      <c r="L33" s="3">
        <f>IF(L9&lt;&gt;"",-(1-UnosPodataka!$M$10)*'FinInd+CO2'!L20,"")</f>
        <v>0</v>
      </c>
      <c r="M33" s="3">
        <f>IF(M9&lt;&gt;"",-(1-UnosPodataka!$M$10)*'FinInd+CO2'!M20,"")</f>
        <v>0</v>
      </c>
      <c r="N33" s="3">
        <f>IF(N9&lt;&gt;"",-(1-UnosPodataka!$M$10)*'FinInd+CO2'!N20,"")</f>
        <v>0</v>
      </c>
      <c r="O33" s="3">
        <f>IF(O9&lt;&gt;"",-(1-UnosPodataka!$M$10)*'FinInd+CO2'!O20,"")</f>
        <v>0</v>
      </c>
      <c r="P33" s="3">
        <f>IF(P9&lt;&gt;"",-(1-UnosPodataka!$M$10)*'FinInd+CO2'!P20,"")</f>
        <v>0</v>
      </c>
      <c r="Q33" s="3">
        <f>IF(Q9&lt;&gt;"",-(1-UnosPodataka!$M$10)*'FinInd+CO2'!Q20,"")</f>
        <v>0</v>
      </c>
      <c r="R33" s="3">
        <f>IF(R9&lt;&gt;"",-(1-UnosPodataka!$M$10)*'FinInd+CO2'!R20,"")</f>
        <v>0</v>
      </c>
      <c r="S33" s="3">
        <f>IF(S9&lt;&gt;"",-(1-UnosPodataka!$M$10)*'FinInd+CO2'!S20,"")</f>
        <v>0</v>
      </c>
      <c r="T33" s="3">
        <f>IF(T9&lt;&gt;"",-(1-UnosPodataka!$M$10)*'FinInd+CO2'!T20,"")</f>
        <v>0</v>
      </c>
      <c r="U33" s="3">
        <f>IF(U9&lt;&gt;"",-(1-UnosPodataka!$M$10)*'FinInd+CO2'!U20,"")</f>
        <v>0</v>
      </c>
      <c r="V33" s="3">
        <f>IF(V9&lt;&gt;"",-(1-UnosPodataka!$M$10)*'FinInd+CO2'!V20,"")</f>
        <v>0</v>
      </c>
      <c r="W33" s="3">
        <f>IF(W9&lt;&gt;"",-(1-UnosPodataka!$M$10)*'FinInd+CO2'!W20,"")</f>
        <v>0</v>
      </c>
      <c r="X33" s="3">
        <f>IF(X9&lt;&gt;"",-(1-UnosPodataka!$M$10)*'FinInd+CO2'!X20,"")</f>
        <v>0</v>
      </c>
      <c r="Y33" s="3">
        <f>IF(Y9&lt;&gt;"",-(1-UnosPodataka!$M$10)*'FinInd+CO2'!Y20,"")</f>
        <v>0</v>
      </c>
    </row>
    <row r="34" spans="1:25" x14ac:dyDescent="0.25">
      <c r="A34" s="77" t="s">
        <v>125</v>
      </c>
      <c r="B34" s="77"/>
      <c r="C34" s="77"/>
      <c r="D34" s="77"/>
      <c r="E34" s="29">
        <f>-SUM(E11:E13)</f>
        <v>-243000</v>
      </c>
      <c r="F34" s="29">
        <f>IF(F9&lt;&gt;"",SUM(F25:F33),"")</f>
        <v>-79484.920827480892</v>
      </c>
      <c r="G34" s="29">
        <f t="shared" ref="G34:Y34" si="7">IF(G9&lt;&gt;"",SUM(G25:G33),"")</f>
        <v>-79484.920827480892</v>
      </c>
      <c r="H34" s="29">
        <f t="shared" si="7"/>
        <v>-79484.920827480892</v>
      </c>
      <c r="I34" s="29">
        <f t="shared" si="7"/>
        <v>-79484.920827480892</v>
      </c>
      <c r="J34" s="29">
        <f t="shared" si="7"/>
        <v>-79484.920827480892</v>
      </c>
      <c r="K34" s="29">
        <f t="shared" si="7"/>
        <v>-79484.920827480892</v>
      </c>
      <c r="L34" s="29">
        <f t="shared" si="7"/>
        <v>-79484.920827480892</v>
      </c>
      <c r="M34" s="29">
        <f t="shared" si="7"/>
        <v>-79484.920827480892</v>
      </c>
      <c r="N34" s="29">
        <f t="shared" si="7"/>
        <v>-49692.100303744046</v>
      </c>
      <c r="O34" s="29">
        <f t="shared" si="7"/>
        <v>-49692.100303744046</v>
      </c>
      <c r="P34" s="29">
        <f t="shared" si="7"/>
        <v>-49692.100303744046</v>
      </c>
      <c r="Q34" s="29">
        <f t="shared" si="7"/>
        <v>-49692.100303744046</v>
      </c>
      <c r="R34" s="29">
        <f t="shared" si="7"/>
        <v>-49692.100303744046</v>
      </c>
      <c r="S34" s="29">
        <f t="shared" si="7"/>
        <v>-49692.100303744046</v>
      </c>
      <c r="T34" s="29">
        <f t="shared" si="7"/>
        <v>-49692.100303744046</v>
      </c>
      <c r="U34" s="29">
        <f t="shared" si="7"/>
        <v>-49692.100303744046</v>
      </c>
      <c r="V34" s="29">
        <f t="shared" si="7"/>
        <v>-49692.100303744046</v>
      </c>
      <c r="W34" s="29">
        <f t="shared" si="7"/>
        <v>-49692.100303744046</v>
      </c>
      <c r="X34" s="29">
        <f t="shared" si="7"/>
        <v>-49692.100303744046</v>
      </c>
      <c r="Y34" s="29">
        <f t="shared" si="7"/>
        <v>-49692.100303744046</v>
      </c>
    </row>
    <row r="36" spans="1:25" x14ac:dyDescent="0.25">
      <c r="A36" t="s">
        <v>160</v>
      </c>
      <c r="E36" s="3">
        <f>+E34-E32-E39</f>
        <v>-243000</v>
      </c>
      <c r="F36" s="3">
        <f>+F34-F32-F39</f>
        <v>-71539.785190970113</v>
      </c>
      <c r="G36" s="3">
        <f t="shared" ref="G36:Y36" si="8">+G34-G32-G39</f>
        <v>-71756.375960397389</v>
      </c>
      <c r="H36" s="3">
        <f t="shared" si="8"/>
        <v>-71998.957622155925</v>
      </c>
      <c r="I36" s="3">
        <f t="shared" si="8"/>
        <v>-72270.649083325479</v>
      </c>
      <c r="J36" s="3">
        <f t="shared" si="8"/>
        <v>-72574.943519835389</v>
      </c>
      <c r="K36" s="3">
        <f t="shared" si="8"/>
        <v>-72915.753288726482</v>
      </c>
      <c r="L36" s="3">
        <f t="shared" si="8"/>
        <v>-73297.460229884498</v>
      </c>
      <c r="M36" s="3">
        <f t="shared" si="8"/>
        <v>-73724.9720039815</v>
      </c>
      <c r="N36" s="3">
        <f t="shared" si="8"/>
        <v>-44410.964667233275</v>
      </c>
      <c r="O36" s="3">
        <f t="shared" si="8"/>
        <v>-44410.964667233275</v>
      </c>
      <c r="P36" s="3">
        <f t="shared" si="8"/>
        <v>-44410.964667233275</v>
      </c>
      <c r="Q36" s="3">
        <f t="shared" si="8"/>
        <v>-44410.964667233275</v>
      </c>
      <c r="R36" s="3">
        <f t="shared" si="8"/>
        <v>-44410.964667233275</v>
      </c>
      <c r="S36" s="3">
        <f t="shared" si="8"/>
        <v>-44410.964667233275</v>
      </c>
      <c r="T36" s="3">
        <f t="shared" si="8"/>
        <v>-44410.964667233275</v>
      </c>
      <c r="U36" s="3">
        <f t="shared" si="8"/>
        <v>-44410.964667233275</v>
      </c>
      <c r="V36" s="3">
        <f t="shared" si="8"/>
        <v>-44410.964667233275</v>
      </c>
      <c r="W36" s="3">
        <f t="shared" si="8"/>
        <v>-44410.964667233275</v>
      </c>
      <c r="X36" s="3">
        <f t="shared" si="8"/>
        <v>-44410.964667233275</v>
      </c>
      <c r="Y36" s="3">
        <f t="shared" si="8"/>
        <v>-44410.964667233275</v>
      </c>
    </row>
    <row r="37" spans="1:25" x14ac:dyDescent="0.25">
      <c r="A37" s="60" t="s">
        <v>161</v>
      </c>
      <c r="B37" s="60"/>
      <c r="C37" s="60"/>
      <c r="D37" s="60"/>
      <c r="F37" s="3">
        <f>IF(F9&lt;&gt;"",F22+F34-F26,"")</f>
        <v>28032.429089928195</v>
      </c>
      <c r="G37" s="3">
        <f t="shared" ref="G37:Y37" si="9">IF(G9&lt;&gt;"",G22+G34-G26,"")</f>
        <v>29476.367552776617</v>
      </c>
      <c r="H37" s="3">
        <f t="shared" si="9"/>
        <v>31093.578631166849</v>
      </c>
      <c r="I37" s="3">
        <f t="shared" si="9"/>
        <v>32904.855038963913</v>
      </c>
      <c r="J37" s="3">
        <f t="shared" si="9"/>
        <v>34933.484615696616</v>
      </c>
      <c r="K37" s="3">
        <f t="shared" si="9"/>
        <v>37205.549741637245</v>
      </c>
      <c r="L37" s="3">
        <f t="shared" si="9"/>
        <v>39750.262682690751</v>
      </c>
      <c r="M37" s="3">
        <f t="shared" si="9"/>
        <v>42600.341176670685</v>
      </c>
      <c r="N37" s="3">
        <f t="shared" si="9"/>
        <v>45792.429089928199</v>
      </c>
      <c r="O37" s="3">
        <f t="shared" si="9"/>
        <v>45792.429089928199</v>
      </c>
      <c r="P37" s="3">
        <f t="shared" si="9"/>
        <v>45792.429089928199</v>
      </c>
      <c r="Q37" s="3">
        <f t="shared" si="9"/>
        <v>45792.429089928199</v>
      </c>
      <c r="R37" s="3">
        <f t="shared" si="9"/>
        <v>45792.429089928199</v>
      </c>
      <c r="S37" s="3">
        <f t="shared" si="9"/>
        <v>45792.429089928199</v>
      </c>
      <c r="T37" s="3">
        <f t="shared" si="9"/>
        <v>45792.429089928199</v>
      </c>
      <c r="U37" s="3">
        <f t="shared" si="9"/>
        <v>45792.429089928199</v>
      </c>
      <c r="V37" s="3">
        <f t="shared" si="9"/>
        <v>45792.429089928199</v>
      </c>
      <c r="W37" s="3">
        <f t="shared" si="9"/>
        <v>45792.429089928199</v>
      </c>
      <c r="X37" s="3">
        <f t="shared" si="9"/>
        <v>45792.429089928199</v>
      </c>
      <c r="Y37" s="3">
        <f t="shared" si="9"/>
        <v>45792.429089928199</v>
      </c>
    </row>
    <row r="38" spans="1:25" x14ac:dyDescent="0.25">
      <c r="A38" s="80"/>
      <c r="B38" s="80"/>
      <c r="C38" s="80"/>
      <c r="D38" s="80"/>
    </row>
    <row r="39" spans="1:25" x14ac:dyDescent="0.25">
      <c r="A39" s="69" t="s">
        <v>115</v>
      </c>
      <c r="B39" s="69"/>
      <c r="C39" s="69"/>
      <c r="D39" s="69"/>
      <c r="F39" s="3">
        <f>IF(F9&lt;&gt;"",IF(F37&gt;0,F37*VAT,0),"")</f>
        <v>4204.8643634892287</v>
      </c>
      <c r="G39" s="3">
        <f t="shared" ref="G39:Y39" si="10">IF(G9&lt;&gt;"",IF(G37&gt;0,G37*VAT,0),"")</f>
        <v>4421.4551329164924</v>
      </c>
      <c r="H39" s="3">
        <f t="shared" si="10"/>
        <v>4664.0367946750275</v>
      </c>
      <c r="I39" s="3">
        <f t="shared" si="10"/>
        <v>4935.7282558445868</v>
      </c>
      <c r="J39" s="3">
        <f t="shared" si="10"/>
        <v>5240.0226923544924</v>
      </c>
      <c r="K39" s="3">
        <f t="shared" si="10"/>
        <v>5580.8324612455863</v>
      </c>
      <c r="L39" s="3">
        <f t="shared" si="10"/>
        <v>5962.5394024036123</v>
      </c>
      <c r="M39" s="3">
        <f t="shared" si="10"/>
        <v>6390.0511765006022</v>
      </c>
      <c r="N39" s="3">
        <f t="shared" si="10"/>
        <v>6868.8643634892296</v>
      </c>
      <c r="O39" s="3">
        <f t="shared" si="10"/>
        <v>6868.8643634892296</v>
      </c>
      <c r="P39" s="3">
        <f t="shared" si="10"/>
        <v>6868.8643634892296</v>
      </c>
      <c r="Q39" s="3">
        <f t="shared" si="10"/>
        <v>6868.8643634892296</v>
      </c>
      <c r="R39" s="3">
        <f t="shared" si="10"/>
        <v>6868.8643634892296</v>
      </c>
      <c r="S39" s="3">
        <f t="shared" si="10"/>
        <v>6868.8643634892296</v>
      </c>
      <c r="T39" s="3">
        <f t="shared" si="10"/>
        <v>6868.8643634892296</v>
      </c>
      <c r="U39" s="3">
        <f t="shared" si="10"/>
        <v>6868.8643634892296</v>
      </c>
      <c r="V39" s="3">
        <f t="shared" si="10"/>
        <v>6868.8643634892296</v>
      </c>
      <c r="W39" s="3">
        <f t="shared" si="10"/>
        <v>6868.8643634892296</v>
      </c>
      <c r="X39" s="3">
        <f t="shared" si="10"/>
        <v>6868.8643634892296</v>
      </c>
      <c r="Y39" s="3">
        <f t="shared" si="10"/>
        <v>6868.8643634892296</v>
      </c>
    </row>
    <row r="40" spans="1:25" x14ac:dyDescent="0.25">
      <c r="A40" s="60" t="s">
        <v>116</v>
      </c>
      <c r="B40" s="60"/>
      <c r="C40" s="60"/>
      <c r="D40" s="60"/>
      <c r="E40" s="3"/>
      <c r="F40" s="3">
        <f>IF(F9&lt;&gt;"",F37-F39,"")</f>
        <v>23827.564726438966</v>
      </c>
      <c r="G40" s="3">
        <f t="shared" ref="G40:Y40" si="11">IF(G9&lt;&gt;"",G37-G39,"")</f>
        <v>25054.912419860124</v>
      </c>
      <c r="H40" s="3">
        <f t="shared" si="11"/>
        <v>26429.541836491822</v>
      </c>
      <c r="I40" s="3">
        <f t="shared" si="11"/>
        <v>27969.126783119325</v>
      </c>
      <c r="J40" s="3">
        <f t="shared" si="11"/>
        <v>29693.461923342125</v>
      </c>
      <c r="K40" s="3">
        <f t="shared" si="11"/>
        <v>31624.717280391658</v>
      </c>
      <c r="L40" s="3">
        <f t="shared" si="11"/>
        <v>33787.723280287137</v>
      </c>
      <c r="M40" s="3">
        <f t="shared" si="11"/>
        <v>36210.290000170084</v>
      </c>
      <c r="N40" s="3">
        <f t="shared" si="11"/>
        <v>38923.56472643897</v>
      </c>
      <c r="O40" s="3">
        <f t="shared" si="11"/>
        <v>38923.56472643897</v>
      </c>
      <c r="P40" s="3">
        <f t="shared" si="11"/>
        <v>38923.56472643897</v>
      </c>
      <c r="Q40" s="3">
        <f t="shared" si="11"/>
        <v>38923.56472643897</v>
      </c>
      <c r="R40" s="3">
        <f t="shared" si="11"/>
        <v>38923.56472643897</v>
      </c>
      <c r="S40" s="3">
        <f t="shared" si="11"/>
        <v>38923.56472643897</v>
      </c>
      <c r="T40" s="3">
        <f t="shared" si="11"/>
        <v>38923.56472643897</v>
      </c>
      <c r="U40" s="3">
        <f t="shared" si="11"/>
        <v>38923.56472643897</v>
      </c>
      <c r="V40" s="3">
        <f t="shared" si="11"/>
        <v>38923.56472643897</v>
      </c>
      <c r="W40" s="3">
        <f t="shared" si="11"/>
        <v>38923.56472643897</v>
      </c>
      <c r="X40" s="3">
        <f t="shared" si="11"/>
        <v>38923.56472643897</v>
      </c>
      <c r="Y40" s="3">
        <f t="shared" si="11"/>
        <v>38923.56472643897</v>
      </c>
    </row>
    <row r="42" spans="1:25" x14ac:dyDescent="0.25">
      <c r="A42" s="31" t="s">
        <v>162</v>
      </c>
      <c r="B42" s="18"/>
      <c r="C42" s="18"/>
      <c r="D42" s="18"/>
      <c r="E42" s="3">
        <f>+E36</f>
        <v>-243000</v>
      </c>
      <c r="F42" s="3">
        <f>+F40+F26-F32</f>
        <v>23944.744202702124</v>
      </c>
      <c r="G42" s="3">
        <f t="shared" ref="G42:Y42" si="12">+G40+G26-G32</f>
        <v>23728.15343327486</v>
      </c>
      <c r="H42" s="3">
        <f t="shared" si="12"/>
        <v>23485.571771516326</v>
      </c>
      <c r="I42" s="3">
        <f t="shared" si="12"/>
        <v>23213.880310346769</v>
      </c>
      <c r="J42" s="3">
        <f t="shared" si="12"/>
        <v>22909.585873836862</v>
      </c>
      <c r="K42" s="3">
        <f t="shared" si="12"/>
        <v>22568.776104945766</v>
      </c>
      <c r="L42" s="3">
        <f t="shared" si="12"/>
        <v>22187.069163787739</v>
      </c>
      <c r="M42" s="3">
        <f t="shared" si="12"/>
        <v>21759.557389690755</v>
      </c>
      <c r="N42" s="3">
        <f t="shared" si="12"/>
        <v>51073.56472643897</v>
      </c>
      <c r="O42" s="3">
        <f t="shared" si="12"/>
        <v>51073.56472643897</v>
      </c>
      <c r="P42" s="3">
        <f t="shared" si="12"/>
        <v>51073.56472643897</v>
      </c>
      <c r="Q42" s="3">
        <f t="shared" si="12"/>
        <v>51073.56472643897</v>
      </c>
      <c r="R42" s="3">
        <f t="shared" si="12"/>
        <v>51073.56472643897</v>
      </c>
      <c r="S42" s="3">
        <f t="shared" si="12"/>
        <v>51073.56472643897</v>
      </c>
      <c r="T42" s="3">
        <f t="shared" si="12"/>
        <v>51073.56472643897</v>
      </c>
      <c r="U42" s="3">
        <f t="shared" si="12"/>
        <v>51073.56472643897</v>
      </c>
      <c r="V42" s="3">
        <f t="shared" si="12"/>
        <v>51073.56472643897</v>
      </c>
      <c r="W42" s="3">
        <f t="shared" si="12"/>
        <v>51073.56472643897</v>
      </c>
      <c r="X42" s="3">
        <f t="shared" si="12"/>
        <v>51073.56472643897</v>
      </c>
      <c r="Y42" s="3">
        <f t="shared" si="12"/>
        <v>51073.56472643897</v>
      </c>
    </row>
    <row r="43" spans="1:25" x14ac:dyDescent="0.25">
      <c r="A43" s="31" t="s">
        <v>163</v>
      </c>
      <c r="B43" s="18"/>
      <c r="C43" s="18"/>
      <c r="D43" s="18"/>
      <c r="E43" s="3">
        <f>+E42</f>
        <v>-243000</v>
      </c>
      <c r="F43" s="3">
        <f>+E43+F42</f>
        <v>-219055.25579729787</v>
      </c>
      <c r="G43" s="3">
        <f t="shared" ref="G43:Y43" si="13">+F43+G42</f>
        <v>-195327.10236402301</v>
      </c>
      <c r="H43" s="3">
        <f t="shared" si="13"/>
        <v>-171841.53059250669</v>
      </c>
      <c r="I43" s="3">
        <f t="shared" si="13"/>
        <v>-148627.65028215991</v>
      </c>
      <c r="J43" s="3">
        <f t="shared" si="13"/>
        <v>-125718.06440832306</v>
      </c>
      <c r="K43" s="3">
        <f t="shared" si="13"/>
        <v>-103149.2883033773</v>
      </c>
      <c r="L43" s="3">
        <f t="shared" si="13"/>
        <v>-80962.21913958955</v>
      </c>
      <c r="M43" s="3">
        <f t="shared" si="13"/>
        <v>-59202.661749898791</v>
      </c>
      <c r="N43" s="3">
        <f t="shared" si="13"/>
        <v>-8129.0970234598208</v>
      </c>
      <c r="O43" s="3">
        <f t="shared" si="13"/>
        <v>42944.467702979149</v>
      </c>
      <c r="P43" s="3">
        <f t="shared" si="13"/>
        <v>94018.032429418119</v>
      </c>
      <c r="Q43" s="3">
        <f t="shared" si="13"/>
        <v>145091.59715585707</v>
      </c>
      <c r="R43" s="3">
        <f t="shared" si="13"/>
        <v>196165.16188229603</v>
      </c>
      <c r="S43" s="3">
        <f t="shared" si="13"/>
        <v>247238.72660873499</v>
      </c>
      <c r="T43" s="3">
        <f t="shared" si="13"/>
        <v>298312.29133517394</v>
      </c>
      <c r="U43" s="3">
        <f t="shared" si="13"/>
        <v>349385.8560616129</v>
      </c>
      <c r="V43" s="3">
        <f t="shared" si="13"/>
        <v>400459.42078805185</v>
      </c>
      <c r="W43" s="3">
        <f t="shared" si="13"/>
        <v>451532.98551449081</v>
      </c>
      <c r="X43" s="3">
        <f t="shared" si="13"/>
        <v>502606.55024092976</v>
      </c>
      <c r="Y43" s="3">
        <f t="shared" si="13"/>
        <v>553680.11496736878</v>
      </c>
    </row>
    <row r="44" spans="1:25" x14ac:dyDescent="0.25">
      <c r="A44" s="18"/>
      <c r="B44" s="18"/>
      <c r="C44" s="18"/>
      <c r="D44" s="18"/>
    </row>
    <row r="45" spans="1:25" x14ac:dyDescent="0.25">
      <c r="A45" s="31" t="s">
        <v>71</v>
      </c>
      <c r="B45" s="18"/>
      <c r="C45" s="18"/>
      <c r="D45" s="18"/>
      <c r="E45" s="7">
        <f>+PomTab1!L25</f>
        <v>8.5082304526748975E-2</v>
      </c>
    </row>
    <row r="46" spans="1:25" x14ac:dyDescent="0.25">
      <c r="A46" s="31" t="s">
        <v>164</v>
      </c>
      <c r="B46" s="18"/>
      <c r="C46" s="18"/>
      <c r="D46" s="18"/>
      <c r="E46" s="3">
        <f>IF(E9&lt;&gt;"",E42*(1+$E$45)^-E9,"")</f>
        <v>-243000</v>
      </c>
      <c r="F46" s="3">
        <f>IF(F9&lt;&gt;"",F42*(1+$E$45)^-F9,"")</f>
        <v>22067.214719850635</v>
      </c>
      <c r="G46" s="3">
        <f t="shared" ref="G46:Y46" si="14">IF(G9&lt;&gt;"",G42*(1+$E$45)^-G9,"")</f>
        <v>20152.947791370174</v>
      </c>
      <c r="H46" s="3">
        <f t="shared" si="14"/>
        <v>18382.86062904997</v>
      </c>
      <c r="I46" s="3">
        <f t="shared" si="14"/>
        <v>16745.457470824455</v>
      </c>
      <c r="J46" s="3">
        <f t="shared" si="14"/>
        <v>15230.137817897627</v>
      </c>
      <c r="K46" s="3">
        <f t="shared" si="14"/>
        <v>13827.126039060893</v>
      </c>
      <c r="L46" s="3">
        <f t="shared" si="14"/>
        <v>12527.406488453491</v>
      </c>
      <c r="M46" s="3">
        <f t="shared" si="14"/>
        <v>11322.663704246932</v>
      </c>
      <c r="N46" s="3">
        <f t="shared" si="14"/>
        <v>24492.439341449932</v>
      </c>
      <c r="O46" s="3">
        <f t="shared" si="14"/>
        <v>22571.964577500072</v>
      </c>
      <c r="P46" s="3">
        <f t="shared" si="14"/>
        <v>20802.076011500969</v>
      </c>
      <c r="Q46" s="3">
        <f t="shared" si="14"/>
        <v>19170.966040749918</v>
      </c>
      <c r="R46" s="3">
        <f t="shared" si="14"/>
        <v>17667.752907565111</v>
      </c>
      <c r="S46" s="3">
        <f t="shared" si="14"/>
        <v>16282.408102923371</v>
      </c>
      <c r="T46" s="3">
        <f t="shared" si="14"/>
        <v>15005.689462445738</v>
      </c>
      <c r="U46" s="3">
        <f t="shared" si="14"/>
        <v>13829.079508388408</v>
      </c>
      <c r="V46" s="3">
        <f t="shared" si="14"/>
        <v>12744.728626295186</v>
      </c>
      <c r="W46" s="3">
        <f t="shared" si="14"/>
        <v>11745.402697220934</v>
      </c>
      <c r="X46" s="3">
        <f t="shared" si="14"/>
        <v>10824.434836160754</v>
      </c>
      <c r="Y46" s="3">
        <f t="shared" si="14"/>
        <v>9975.6809147134263</v>
      </c>
    </row>
    <row r="47" spans="1:25" x14ac:dyDescent="0.25">
      <c r="A47" s="31" t="s">
        <v>165</v>
      </c>
      <c r="B47" s="18"/>
      <c r="C47" s="18"/>
      <c r="D47" s="18"/>
      <c r="E47" s="3">
        <f>+E46</f>
        <v>-243000</v>
      </c>
      <c r="F47" s="3">
        <f>+E47+F46</f>
        <v>-220932.78528014937</v>
      </c>
      <c r="G47" s="3">
        <f t="shared" ref="G47:Y47" si="15">+F47+G46</f>
        <v>-200779.83748877919</v>
      </c>
      <c r="H47" s="3">
        <f t="shared" si="15"/>
        <v>-182396.97685972921</v>
      </c>
      <c r="I47" s="3">
        <f t="shared" si="15"/>
        <v>-165651.51938890477</v>
      </c>
      <c r="J47" s="3">
        <f t="shared" si="15"/>
        <v>-150421.38157100714</v>
      </c>
      <c r="K47" s="3">
        <f t="shared" si="15"/>
        <v>-136594.25553194626</v>
      </c>
      <c r="L47" s="3">
        <f t="shared" si="15"/>
        <v>-124066.84904349277</v>
      </c>
      <c r="M47" s="3">
        <f t="shared" si="15"/>
        <v>-112744.18533924583</v>
      </c>
      <c r="N47" s="3">
        <f t="shared" si="15"/>
        <v>-88251.745997795893</v>
      </c>
      <c r="O47" s="3">
        <f t="shared" si="15"/>
        <v>-65679.781420295825</v>
      </c>
      <c r="P47" s="3">
        <f t="shared" si="15"/>
        <v>-44877.705408794856</v>
      </c>
      <c r="Q47" s="3">
        <f t="shared" si="15"/>
        <v>-25706.739368044939</v>
      </c>
      <c r="R47" s="3">
        <f t="shared" si="15"/>
        <v>-8038.9864604798277</v>
      </c>
      <c r="S47" s="3">
        <f t="shared" si="15"/>
        <v>8243.4216424435435</v>
      </c>
      <c r="T47" s="3">
        <f t="shared" si="15"/>
        <v>23249.111104889282</v>
      </c>
      <c r="U47" s="3">
        <f t="shared" si="15"/>
        <v>37078.190613277693</v>
      </c>
      <c r="V47" s="3">
        <f t="shared" si="15"/>
        <v>49822.919239572875</v>
      </c>
      <c r="W47" s="3">
        <f t="shared" si="15"/>
        <v>61568.321936793807</v>
      </c>
      <c r="X47" s="3">
        <f t="shared" si="15"/>
        <v>72392.756772954555</v>
      </c>
      <c r="Y47" s="3">
        <f t="shared" si="15"/>
        <v>82368.437687667989</v>
      </c>
    </row>
    <row r="48" spans="1:25" x14ac:dyDescent="0.25">
      <c r="A48" s="31"/>
      <c r="B48" s="18"/>
      <c r="C48" s="18"/>
      <c r="D48" s="18"/>
    </row>
    <row r="49" spans="1:25" x14ac:dyDescent="0.25">
      <c r="A49" s="32" t="s">
        <v>166</v>
      </c>
      <c r="B49" s="33"/>
      <c r="C49" s="33"/>
      <c r="D49" s="33"/>
      <c r="E49" s="35">
        <f>+NPV(E45,E42:Y42)</f>
        <v>75909.852500628971</v>
      </c>
      <c r="F49" s="37"/>
    </row>
    <row r="50" spans="1:25" x14ac:dyDescent="0.25">
      <c r="A50" s="32" t="s">
        <v>167</v>
      </c>
      <c r="B50" s="33"/>
      <c r="C50" s="33"/>
      <c r="D50" s="33"/>
      <c r="E50" s="36">
        <f>+IRR(E42:Y42,10%)</f>
        <v>0.11989416647442463</v>
      </c>
      <c r="F50" s="37"/>
    </row>
    <row r="51" spans="1:25" x14ac:dyDescent="0.25">
      <c r="A51" s="32" t="s">
        <v>168</v>
      </c>
      <c r="B51" s="33"/>
      <c r="C51" s="33"/>
      <c r="D51" s="33"/>
      <c r="E51" s="35">
        <f t="array" ref="E51">+NPV(E45,F22:Y22/-NPV(E45,E36:Y36))</f>
        <v>1.1939861075059111</v>
      </c>
      <c r="F51" s="37"/>
    </row>
    <row r="52" spans="1:25" x14ac:dyDescent="0.25">
      <c r="A52" s="32" t="s">
        <v>169</v>
      </c>
      <c r="B52" s="33"/>
      <c r="C52" s="33"/>
      <c r="D52" s="33"/>
      <c r="E52" s="37">
        <f t="array" aca="1" ref="E52" ca="1">+LOOKUP(INDEX(E41:Y41,MATCH(TRUE,E43:Y43&gt;0,0)),D43:Y43,E9:Y9)</f>
        <v>10</v>
      </c>
      <c r="F52" s="37" t="s">
        <v>179</v>
      </c>
    </row>
    <row r="53" spans="1:25" x14ac:dyDescent="0.25">
      <c r="A53" s="32" t="s">
        <v>170</v>
      </c>
      <c r="B53" s="33"/>
      <c r="C53" s="33"/>
      <c r="D53" s="33"/>
      <c r="E53" s="37">
        <f t="array" ref="E53">+LOOKUP(INDEX(E47:Y47,MATCH(TRUE,E47:Y47&gt;0,0)),E47:Y47,E9:Y9)</f>
        <v>14</v>
      </c>
      <c r="F53" s="37" t="s">
        <v>179</v>
      </c>
    </row>
    <row r="54" spans="1:25" x14ac:dyDescent="0.25">
      <c r="A54" s="31"/>
      <c r="B54" s="18"/>
      <c r="C54" s="18"/>
      <c r="D54" s="18"/>
    </row>
    <row r="56" spans="1:25" x14ac:dyDescent="0.25">
      <c r="A56" s="69" t="s">
        <v>171</v>
      </c>
      <c r="B56" s="69"/>
      <c r="C56" s="69"/>
      <c r="D56" s="69"/>
      <c r="E56" s="3">
        <f>IF(E9&lt;&gt;"",E36,"")</f>
        <v>-243000</v>
      </c>
      <c r="F56" s="3">
        <f>IF(F9&lt;&gt;"",F36,"")</f>
        <v>-71539.785190970113</v>
      </c>
      <c r="G56" s="3">
        <f t="shared" ref="G56:Y56" si="16">IF(G9&lt;&gt;"",G36,"")</f>
        <v>-71756.375960397389</v>
      </c>
      <c r="H56" s="3">
        <f t="shared" si="16"/>
        <v>-71998.957622155925</v>
      </c>
      <c r="I56" s="3">
        <f t="shared" si="16"/>
        <v>-72270.649083325479</v>
      </c>
      <c r="J56" s="3">
        <f t="shared" si="16"/>
        <v>-72574.943519835389</v>
      </c>
      <c r="K56" s="3">
        <f t="shared" si="16"/>
        <v>-72915.753288726482</v>
      </c>
      <c r="L56" s="3">
        <f t="shared" si="16"/>
        <v>-73297.460229884498</v>
      </c>
      <c r="M56" s="3">
        <f t="shared" si="16"/>
        <v>-73724.9720039815</v>
      </c>
      <c r="N56" s="3">
        <f t="shared" si="16"/>
        <v>-44410.964667233275</v>
      </c>
      <c r="O56" s="3">
        <f t="shared" si="16"/>
        <v>-44410.964667233275</v>
      </c>
      <c r="P56" s="3">
        <f t="shared" si="16"/>
        <v>-44410.964667233275</v>
      </c>
      <c r="Q56" s="3">
        <f t="shared" si="16"/>
        <v>-44410.964667233275</v>
      </c>
      <c r="R56" s="3">
        <f t="shared" si="16"/>
        <v>-44410.964667233275</v>
      </c>
      <c r="S56" s="3">
        <f t="shared" si="16"/>
        <v>-44410.964667233275</v>
      </c>
      <c r="T56" s="3">
        <f t="shared" si="16"/>
        <v>-44410.964667233275</v>
      </c>
      <c r="U56" s="3">
        <f t="shared" si="16"/>
        <v>-44410.964667233275</v>
      </c>
      <c r="V56" s="3">
        <f t="shared" si="16"/>
        <v>-44410.964667233275</v>
      </c>
      <c r="W56" s="3">
        <f t="shared" si="16"/>
        <v>-44410.964667233275</v>
      </c>
      <c r="X56" s="3">
        <f t="shared" si="16"/>
        <v>-44410.964667233275</v>
      </c>
      <c r="Y56" s="3">
        <f t="shared" si="16"/>
        <v>-44410.964667233275</v>
      </c>
    </row>
    <row r="57" spans="1:25" x14ac:dyDescent="0.25">
      <c r="A57" s="69" t="s">
        <v>172</v>
      </c>
      <c r="B57" s="69"/>
      <c r="C57" s="69"/>
      <c r="D57" s="69"/>
      <c r="E57" s="3">
        <f t="shared" ref="E57:Y57" si="17">IF(E9&lt;&gt;"",E56*(1+FDS)^-E9,"")</f>
        <v>-243000</v>
      </c>
      <c r="F57" s="3">
        <f t="shared" si="17"/>
        <v>-71539.785190970113</v>
      </c>
      <c r="G57" s="3">
        <f t="shared" si="17"/>
        <v>-71756.375960397389</v>
      </c>
      <c r="H57" s="3">
        <f t="shared" si="17"/>
        <v>-71998.957622155925</v>
      </c>
      <c r="I57" s="3">
        <f t="shared" si="17"/>
        <v>-72270.649083325479</v>
      </c>
      <c r="J57" s="3">
        <f t="shared" si="17"/>
        <v>-72574.943519835389</v>
      </c>
      <c r="K57" s="3">
        <f t="shared" si="17"/>
        <v>-72915.753288726482</v>
      </c>
      <c r="L57" s="3">
        <f t="shared" si="17"/>
        <v>-73297.460229884498</v>
      </c>
      <c r="M57" s="3">
        <f t="shared" si="17"/>
        <v>-73724.9720039815</v>
      </c>
      <c r="N57" s="3">
        <f t="shared" si="17"/>
        <v>-44410.964667233275</v>
      </c>
      <c r="O57" s="3">
        <f t="shared" si="17"/>
        <v>-44410.964667233275</v>
      </c>
      <c r="P57" s="3">
        <f t="shared" si="17"/>
        <v>-44410.964667233275</v>
      </c>
      <c r="Q57" s="3">
        <f t="shared" si="17"/>
        <v>-44410.964667233275</v>
      </c>
      <c r="R57" s="3">
        <f t="shared" si="17"/>
        <v>-44410.964667233275</v>
      </c>
      <c r="S57" s="3">
        <f t="shared" si="17"/>
        <v>-44410.964667233275</v>
      </c>
      <c r="T57" s="3">
        <f t="shared" si="17"/>
        <v>-44410.964667233275</v>
      </c>
      <c r="U57" s="3">
        <f t="shared" si="17"/>
        <v>-44410.964667233275</v>
      </c>
      <c r="V57" s="3">
        <f t="shared" si="17"/>
        <v>-44410.964667233275</v>
      </c>
      <c r="W57" s="3">
        <f t="shared" si="17"/>
        <v>-44410.964667233275</v>
      </c>
      <c r="X57" s="3">
        <f t="shared" si="17"/>
        <v>-44410.964667233275</v>
      </c>
      <c r="Y57" s="3">
        <f t="shared" si="17"/>
        <v>-44410.964667233275</v>
      </c>
    </row>
    <row r="58" spans="1:25" x14ac:dyDescent="0.25">
      <c r="A58" s="69" t="s">
        <v>173</v>
      </c>
      <c r="B58" s="69"/>
      <c r="C58" s="69"/>
      <c r="D58" s="69"/>
      <c r="E58" s="3">
        <f>IF(E9&lt;&gt;"",D58-E57,"")</f>
        <v>243000</v>
      </c>
      <c r="F58" s="3">
        <f>IF(F9&lt;&gt;"",E58-F57,"")</f>
        <v>314539.78519097011</v>
      </c>
      <c r="G58" s="3">
        <f t="shared" ref="G58:Y58" si="18">IF(G9&lt;&gt;"",F58-G57,"")</f>
        <v>386296.16115136747</v>
      </c>
      <c r="H58" s="3">
        <f t="shared" si="18"/>
        <v>458295.11877352337</v>
      </c>
      <c r="I58" s="3">
        <f t="shared" si="18"/>
        <v>530565.76785684889</v>
      </c>
      <c r="J58" s="3">
        <f t="shared" si="18"/>
        <v>603140.71137668425</v>
      </c>
      <c r="K58" s="3">
        <f t="shared" si="18"/>
        <v>676056.46466541069</v>
      </c>
      <c r="L58" s="3">
        <f t="shared" si="18"/>
        <v>749353.92489529517</v>
      </c>
      <c r="M58" s="3">
        <f t="shared" si="18"/>
        <v>823078.89689927665</v>
      </c>
      <c r="N58" s="3">
        <f t="shared" si="18"/>
        <v>867489.86156650994</v>
      </c>
      <c r="O58" s="3">
        <f t="shared" si="18"/>
        <v>911900.82623374322</v>
      </c>
      <c r="P58" s="3">
        <f t="shared" si="18"/>
        <v>956311.79090097651</v>
      </c>
      <c r="Q58" s="3">
        <f t="shared" si="18"/>
        <v>1000722.7555682098</v>
      </c>
      <c r="R58" s="3">
        <f t="shared" si="18"/>
        <v>1045133.7202354431</v>
      </c>
      <c r="S58" s="3">
        <f t="shared" si="18"/>
        <v>1089544.6849026764</v>
      </c>
      <c r="T58" s="3">
        <f t="shared" si="18"/>
        <v>1133955.6495699096</v>
      </c>
      <c r="U58" s="3">
        <f t="shared" si="18"/>
        <v>1178366.6142371427</v>
      </c>
      <c r="V58" s="3">
        <f t="shared" si="18"/>
        <v>1222777.5789043759</v>
      </c>
      <c r="W58" s="3">
        <f t="shared" si="18"/>
        <v>1267188.5435716091</v>
      </c>
      <c r="X58" s="3">
        <f t="shared" si="18"/>
        <v>1311599.5082388422</v>
      </c>
      <c r="Y58" s="3">
        <f t="shared" si="18"/>
        <v>1356010.4729060754</v>
      </c>
    </row>
    <row r="59" spans="1:25" x14ac:dyDescent="0.25">
      <c r="A59" s="69" t="s">
        <v>174</v>
      </c>
      <c r="B59" s="69"/>
      <c r="C59" s="69"/>
      <c r="D59" s="69"/>
      <c r="E59" s="3"/>
      <c r="F59" s="3">
        <f>IF(F9&lt;&gt;"",F22,"")</f>
        <v>95484.529393672245</v>
      </c>
      <c r="G59" s="3">
        <f t="shared" ref="G59:Y59" si="19">IF(G9&lt;&gt;"",G22,"")</f>
        <v>95484.529393672245</v>
      </c>
      <c r="H59" s="3">
        <f t="shared" si="19"/>
        <v>95484.529393672245</v>
      </c>
      <c r="I59" s="3">
        <f t="shared" si="19"/>
        <v>95484.529393672245</v>
      </c>
      <c r="J59" s="3">
        <f t="shared" si="19"/>
        <v>95484.529393672245</v>
      </c>
      <c r="K59" s="3">
        <f t="shared" si="19"/>
        <v>95484.529393672245</v>
      </c>
      <c r="L59" s="3">
        <f t="shared" si="19"/>
        <v>95484.529393672245</v>
      </c>
      <c r="M59" s="3">
        <f t="shared" si="19"/>
        <v>95484.529393672245</v>
      </c>
      <c r="N59" s="3">
        <f t="shared" si="19"/>
        <v>95484.529393672245</v>
      </c>
      <c r="O59" s="3">
        <f t="shared" si="19"/>
        <v>95484.529393672245</v>
      </c>
      <c r="P59" s="3">
        <f t="shared" si="19"/>
        <v>95484.529393672245</v>
      </c>
      <c r="Q59" s="3">
        <f t="shared" si="19"/>
        <v>95484.529393672245</v>
      </c>
      <c r="R59" s="3">
        <f t="shared" si="19"/>
        <v>95484.529393672245</v>
      </c>
      <c r="S59" s="3">
        <f t="shared" si="19"/>
        <v>95484.529393672245</v>
      </c>
      <c r="T59" s="3">
        <f t="shared" si="19"/>
        <v>95484.529393672245</v>
      </c>
      <c r="U59" s="3">
        <f t="shared" si="19"/>
        <v>95484.529393672245</v>
      </c>
      <c r="V59" s="3">
        <f t="shared" si="19"/>
        <v>95484.529393672245</v>
      </c>
      <c r="W59" s="3">
        <f t="shared" si="19"/>
        <v>95484.529393672245</v>
      </c>
      <c r="X59" s="3">
        <f t="shared" si="19"/>
        <v>95484.529393672245</v>
      </c>
      <c r="Y59" s="3">
        <f t="shared" si="19"/>
        <v>95484.529393672245</v>
      </c>
    </row>
    <row r="60" spans="1:25" x14ac:dyDescent="0.25">
      <c r="A60" s="69" t="s">
        <v>175</v>
      </c>
      <c r="B60" s="69"/>
      <c r="C60" s="69"/>
      <c r="D60" s="69"/>
      <c r="E60" s="3"/>
      <c r="F60" s="3">
        <f t="shared" ref="F60:Y60" si="20">IF(F9&lt;&gt;"",F59*(1+FDS)^-F9,"")</f>
        <v>95484.529393672245</v>
      </c>
      <c r="G60" s="3">
        <f t="shared" si="20"/>
        <v>95484.529393672245</v>
      </c>
      <c r="H60" s="3">
        <f t="shared" si="20"/>
        <v>95484.529393672245</v>
      </c>
      <c r="I60" s="3">
        <f t="shared" si="20"/>
        <v>95484.529393672245</v>
      </c>
      <c r="J60" s="3">
        <f t="shared" si="20"/>
        <v>95484.529393672245</v>
      </c>
      <c r="K60" s="3">
        <f t="shared" si="20"/>
        <v>95484.529393672245</v>
      </c>
      <c r="L60" s="3">
        <f t="shared" si="20"/>
        <v>95484.529393672245</v>
      </c>
      <c r="M60" s="3">
        <f t="shared" si="20"/>
        <v>95484.529393672245</v>
      </c>
      <c r="N60" s="3">
        <f t="shared" si="20"/>
        <v>95484.529393672245</v>
      </c>
      <c r="O60" s="3">
        <f t="shared" si="20"/>
        <v>95484.529393672245</v>
      </c>
      <c r="P60" s="3">
        <f t="shared" si="20"/>
        <v>95484.529393672245</v>
      </c>
      <c r="Q60" s="3">
        <f t="shared" si="20"/>
        <v>95484.529393672245</v>
      </c>
      <c r="R60" s="3">
        <f t="shared" si="20"/>
        <v>95484.529393672245</v>
      </c>
      <c r="S60" s="3">
        <f t="shared" si="20"/>
        <v>95484.529393672245</v>
      </c>
      <c r="T60" s="3">
        <f t="shared" si="20"/>
        <v>95484.529393672245</v>
      </c>
      <c r="U60" s="3">
        <f t="shared" si="20"/>
        <v>95484.529393672245</v>
      </c>
      <c r="V60" s="3">
        <f t="shared" si="20"/>
        <v>95484.529393672245</v>
      </c>
      <c r="W60" s="3">
        <f t="shared" si="20"/>
        <v>95484.529393672245</v>
      </c>
      <c r="X60" s="3">
        <f t="shared" si="20"/>
        <v>95484.529393672245</v>
      </c>
      <c r="Y60" s="3">
        <f t="shared" si="20"/>
        <v>95484.529393672245</v>
      </c>
    </row>
    <row r="61" spans="1:25" x14ac:dyDescent="0.25">
      <c r="A61" s="69" t="s">
        <v>176</v>
      </c>
      <c r="B61" s="69"/>
      <c r="C61" s="69"/>
      <c r="D61" s="69"/>
      <c r="E61" s="3"/>
      <c r="F61" s="3">
        <f>IF(F9&lt;&gt;"",E61+F60,"")</f>
        <v>95484.529393672245</v>
      </c>
      <c r="G61" s="3">
        <f t="shared" ref="G61:Y61" si="21">IF(G9&lt;&gt;"",F61+G60,"")</f>
        <v>190969.05878734449</v>
      </c>
      <c r="H61" s="3">
        <f t="shared" si="21"/>
        <v>286453.58818101673</v>
      </c>
      <c r="I61" s="3">
        <f t="shared" si="21"/>
        <v>381938.11757468898</v>
      </c>
      <c r="J61" s="3">
        <f t="shared" si="21"/>
        <v>477422.64696836122</v>
      </c>
      <c r="K61" s="3">
        <f t="shared" si="21"/>
        <v>572907.17636203347</v>
      </c>
      <c r="L61" s="3">
        <f t="shared" si="21"/>
        <v>668391.70575570571</v>
      </c>
      <c r="M61" s="3">
        <f t="shared" si="21"/>
        <v>763876.23514937796</v>
      </c>
      <c r="N61" s="3">
        <f t="shared" si="21"/>
        <v>859360.7645430502</v>
      </c>
      <c r="O61" s="3">
        <f t="shared" si="21"/>
        <v>954845.29393672245</v>
      </c>
      <c r="P61" s="3">
        <f t="shared" si="21"/>
        <v>1050329.8233303947</v>
      </c>
      <c r="Q61" s="3">
        <f t="shared" si="21"/>
        <v>1145814.3527240669</v>
      </c>
      <c r="R61" s="3">
        <f t="shared" si="21"/>
        <v>1241298.8821177392</v>
      </c>
      <c r="S61" s="3">
        <f t="shared" si="21"/>
        <v>1336783.4115114114</v>
      </c>
      <c r="T61" s="3">
        <f t="shared" si="21"/>
        <v>1432267.9409050837</v>
      </c>
      <c r="U61" s="3">
        <f t="shared" si="21"/>
        <v>1527752.4702987559</v>
      </c>
      <c r="V61" s="3">
        <f t="shared" si="21"/>
        <v>1623236.9996924282</v>
      </c>
      <c r="W61" s="3">
        <f t="shared" si="21"/>
        <v>1718721.5290861004</v>
      </c>
      <c r="X61" s="3">
        <f t="shared" si="21"/>
        <v>1814206.0584797726</v>
      </c>
      <c r="Y61" s="3">
        <f t="shared" si="21"/>
        <v>1909690.5878734449</v>
      </c>
    </row>
    <row r="62" spans="1:25" x14ac:dyDescent="0.25">
      <c r="A62" s="69" t="s">
        <v>177</v>
      </c>
      <c r="B62" s="69"/>
      <c r="C62" s="69"/>
      <c r="D62" s="69"/>
      <c r="E62" s="3">
        <f>+E61-E58</f>
        <v>-243000</v>
      </c>
      <c r="F62" s="3">
        <f>+F61-F58</f>
        <v>-219055.25579729787</v>
      </c>
      <c r="G62" s="3">
        <f t="shared" ref="G62:Y62" si="22">+G61-G58</f>
        <v>-195327.10236402298</v>
      </c>
      <c r="H62" s="3">
        <f t="shared" si="22"/>
        <v>-171841.53059250664</v>
      </c>
      <c r="I62" s="3">
        <f t="shared" si="22"/>
        <v>-148627.65028215991</v>
      </c>
      <c r="J62" s="3">
        <f t="shared" si="22"/>
        <v>-125718.06440832303</v>
      </c>
      <c r="K62" s="3">
        <f t="shared" si="22"/>
        <v>-103149.28830337722</v>
      </c>
      <c r="L62" s="3">
        <f t="shared" si="22"/>
        <v>-80962.219139589462</v>
      </c>
      <c r="M62" s="3">
        <f t="shared" si="22"/>
        <v>-59202.661749898689</v>
      </c>
      <c r="N62" s="3">
        <f t="shared" si="22"/>
        <v>-8129.0970234597335</v>
      </c>
      <c r="O62" s="3">
        <f t="shared" si="22"/>
        <v>42944.467702979222</v>
      </c>
      <c r="P62" s="3">
        <f t="shared" si="22"/>
        <v>94018.032429418177</v>
      </c>
      <c r="Q62" s="3">
        <f t="shared" si="22"/>
        <v>145091.59715585713</v>
      </c>
      <c r="R62" s="3">
        <f t="shared" si="22"/>
        <v>196165.16188229609</v>
      </c>
      <c r="S62" s="3">
        <f t="shared" si="22"/>
        <v>247238.72660873504</v>
      </c>
      <c r="T62" s="3">
        <f t="shared" si="22"/>
        <v>298312.29133517412</v>
      </c>
      <c r="U62" s="3">
        <f t="shared" si="22"/>
        <v>349385.85606161319</v>
      </c>
      <c r="V62" s="3">
        <f t="shared" si="22"/>
        <v>400459.42078805226</v>
      </c>
      <c r="W62" s="3">
        <f t="shared" si="22"/>
        <v>451532.98551449133</v>
      </c>
      <c r="X62" s="3">
        <f t="shared" si="22"/>
        <v>502606.5502409304</v>
      </c>
      <c r="Y62" s="3">
        <f t="shared" si="22"/>
        <v>553680.11496736947</v>
      </c>
    </row>
    <row r="63" spans="1:25" x14ac:dyDescent="0.25">
      <c r="A63" s="34" t="s">
        <v>178</v>
      </c>
      <c r="B63" s="34"/>
      <c r="C63" s="34"/>
      <c r="D63" s="34"/>
      <c r="E63" s="37"/>
      <c r="F63" s="39">
        <f t="shared" ref="F63:Y63" si="23">-F56/HEAT</f>
        <v>65.036168355427378</v>
      </c>
      <c r="G63" s="39">
        <f t="shared" si="23"/>
        <v>65.233069054906721</v>
      </c>
      <c r="H63" s="39">
        <f t="shared" si="23"/>
        <v>65.453597838323574</v>
      </c>
      <c r="I63" s="39">
        <f t="shared" si="23"/>
        <v>65.700590075750441</v>
      </c>
      <c r="J63" s="39">
        <f t="shared" si="23"/>
        <v>65.977221381668542</v>
      </c>
      <c r="K63" s="39">
        <f t="shared" si="23"/>
        <v>66.287048444296801</v>
      </c>
      <c r="L63" s="39">
        <f t="shared" si="23"/>
        <v>66.634054754440456</v>
      </c>
      <c r="M63" s="39">
        <f t="shared" si="23"/>
        <v>67.022701821801363</v>
      </c>
      <c r="N63" s="39">
        <f t="shared" si="23"/>
        <v>40.373604242939344</v>
      </c>
      <c r="O63" s="39">
        <f t="shared" si="23"/>
        <v>40.373604242939344</v>
      </c>
      <c r="P63" s="39">
        <f t="shared" si="23"/>
        <v>40.373604242939344</v>
      </c>
      <c r="Q63" s="39">
        <f t="shared" si="23"/>
        <v>40.373604242939344</v>
      </c>
      <c r="R63" s="39">
        <f t="shared" si="23"/>
        <v>40.373604242939344</v>
      </c>
      <c r="S63" s="39">
        <f t="shared" si="23"/>
        <v>40.373604242939344</v>
      </c>
      <c r="T63" s="39">
        <f t="shared" si="23"/>
        <v>40.373604242939344</v>
      </c>
      <c r="U63" s="39">
        <f t="shared" si="23"/>
        <v>40.373604242939344</v>
      </c>
      <c r="V63" s="39">
        <f t="shared" si="23"/>
        <v>40.373604242939344</v>
      </c>
      <c r="W63" s="39">
        <f t="shared" si="23"/>
        <v>40.373604242939344</v>
      </c>
      <c r="X63" s="39">
        <f t="shared" si="23"/>
        <v>40.373604242939344</v>
      </c>
      <c r="Y63" s="39">
        <f t="shared" si="23"/>
        <v>40.373604242939344</v>
      </c>
    </row>
    <row r="65" spans="1:25" x14ac:dyDescent="0.25">
      <c r="A65" s="69" t="s">
        <v>117</v>
      </c>
      <c r="B65" s="69"/>
      <c r="C65" s="69"/>
      <c r="D65" s="69"/>
      <c r="E65" s="3">
        <f>E11</f>
        <v>148000</v>
      </c>
      <c r="F65" s="3">
        <f t="shared" ref="F65:Y65" si="24">+F58</f>
        <v>314539.78519097011</v>
      </c>
      <c r="G65" s="3">
        <f t="shared" si="24"/>
        <v>386296.16115136747</v>
      </c>
      <c r="H65" s="3">
        <f t="shared" si="24"/>
        <v>458295.11877352337</v>
      </c>
      <c r="I65" s="3">
        <f t="shared" si="24"/>
        <v>530565.76785684889</v>
      </c>
      <c r="J65" s="3">
        <f t="shared" si="24"/>
        <v>603140.71137668425</v>
      </c>
      <c r="K65" s="3">
        <f t="shared" si="24"/>
        <v>676056.46466541069</v>
      </c>
      <c r="L65" s="3">
        <f t="shared" si="24"/>
        <v>749353.92489529517</v>
      </c>
      <c r="M65" s="3">
        <f t="shared" si="24"/>
        <v>823078.89689927665</v>
      </c>
      <c r="N65" s="3">
        <f t="shared" si="24"/>
        <v>867489.86156650994</v>
      </c>
      <c r="O65" s="3">
        <f t="shared" si="24"/>
        <v>911900.82623374322</v>
      </c>
      <c r="P65" s="3">
        <f t="shared" si="24"/>
        <v>956311.79090097651</v>
      </c>
      <c r="Q65" s="3">
        <f t="shared" si="24"/>
        <v>1000722.7555682098</v>
      </c>
      <c r="R65" s="3">
        <f t="shared" si="24"/>
        <v>1045133.7202354431</v>
      </c>
      <c r="S65" s="3">
        <f t="shared" si="24"/>
        <v>1089544.6849026764</v>
      </c>
      <c r="T65" s="3">
        <f t="shared" si="24"/>
        <v>1133955.6495699096</v>
      </c>
      <c r="U65" s="3">
        <f t="shared" si="24"/>
        <v>1178366.6142371427</v>
      </c>
      <c r="V65" s="3">
        <f t="shared" si="24"/>
        <v>1222777.5789043759</v>
      </c>
      <c r="W65" s="3">
        <f t="shared" si="24"/>
        <v>1267188.5435716091</v>
      </c>
      <c r="X65" s="3">
        <f t="shared" si="24"/>
        <v>1311599.5082388422</v>
      </c>
      <c r="Y65" s="3">
        <f t="shared" si="24"/>
        <v>1356010.4729060754</v>
      </c>
    </row>
    <row r="66" spans="1:25" x14ac:dyDescent="0.25">
      <c r="A66" s="69" t="s">
        <v>118</v>
      </c>
      <c r="B66" s="69"/>
      <c r="C66" s="69"/>
      <c r="D66" s="69"/>
      <c r="F66" s="3">
        <f>+F61</f>
        <v>95484.529393672245</v>
      </c>
      <c r="G66" s="3">
        <f t="shared" ref="G66:Y66" si="25">+G61</f>
        <v>190969.05878734449</v>
      </c>
      <c r="H66" s="3">
        <f t="shared" si="25"/>
        <v>286453.58818101673</v>
      </c>
      <c r="I66" s="3">
        <f t="shared" si="25"/>
        <v>381938.11757468898</v>
      </c>
      <c r="J66" s="3">
        <f t="shared" si="25"/>
        <v>477422.64696836122</v>
      </c>
      <c r="K66" s="3">
        <f t="shared" si="25"/>
        <v>572907.17636203347</v>
      </c>
      <c r="L66" s="3">
        <f t="shared" si="25"/>
        <v>668391.70575570571</v>
      </c>
      <c r="M66" s="3">
        <f t="shared" si="25"/>
        <v>763876.23514937796</v>
      </c>
      <c r="N66" s="3">
        <f t="shared" si="25"/>
        <v>859360.7645430502</v>
      </c>
      <c r="O66" s="3">
        <f t="shared" si="25"/>
        <v>954845.29393672245</v>
      </c>
      <c r="P66" s="3">
        <f t="shared" si="25"/>
        <v>1050329.8233303947</v>
      </c>
      <c r="Q66" s="3">
        <f t="shared" si="25"/>
        <v>1145814.3527240669</v>
      </c>
      <c r="R66" s="3">
        <f t="shared" si="25"/>
        <v>1241298.8821177392</v>
      </c>
      <c r="S66" s="3">
        <f t="shared" si="25"/>
        <v>1336783.4115114114</v>
      </c>
      <c r="T66" s="3">
        <f t="shared" si="25"/>
        <v>1432267.9409050837</v>
      </c>
      <c r="U66" s="3">
        <f t="shared" si="25"/>
        <v>1527752.4702987559</v>
      </c>
      <c r="V66" s="3">
        <f t="shared" si="25"/>
        <v>1623236.9996924282</v>
      </c>
      <c r="W66" s="3">
        <f t="shared" si="25"/>
        <v>1718721.5290861004</v>
      </c>
      <c r="X66" s="3">
        <f t="shared" si="25"/>
        <v>1814206.0584797726</v>
      </c>
      <c r="Y66" s="3">
        <f t="shared" si="25"/>
        <v>1909690.5878734449</v>
      </c>
    </row>
  </sheetData>
  <sheetProtection selectLockedCells="1"/>
  <mergeCells count="37">
    <mergeCell ref="A61:D61"/>
    <mergeCell ref="A62:D62"/>
    <mergeCell ref="A56:D56"/>
    <mergeCell ref="A57:D57"/>
    <mergeCell ref="A58:D58"/>
    <mergeCell ref="A59:D59"/>
    <mergeCell ref="A60:D60"/>
    <mergeCell ref="A37:D37"/>
    <mergeCell ref="A32:D32"/>
    <mergeCell ref="A20:D20"/>
    <mergeCell ref="A22:D22"/>
    <mergeCell ref="A24:D24"/>
    <mergeCell ref="A25:D25"/>
    <mergeCell ref="A27:D27"/>
    <mergeCell ref="A21:D21"/>
    <mergeCell ref="A28:D28"/>
    <mergeCell ref="A31:D31"/>
    <mergeCell ref="A33:D33"/>
    <mergeCell ref="A34:D34"/>
    <mergeCell ref="A29:D29"/>
    <mergeCell ref="A30:D30"/>
    <mergeCell ref="A66:D66"/>
    <mergeCell ref="A65:D65"/>
    <mergeCell ref="I7:J7"/>
    <mergeCell ref="N7:O7"/>
    <mergeCell ref="A19:D19"/>
    <mergeCell ref="A15:D15"/>
    <mergeCell ref="A16:D16"/>
    <mergeCell ref="A14:D14"/>
    <mergeCell ref="A7:D7"/>
    <mergeCell ref="A9:D9"/>
    <mergeCell ref="A11:D11"/>
    <mergeCell ref="A12:D12"/>
    <mergeCell ref="A13:D13"/>
    <mergeCell ref="A38:D38"/>
    <mergeCell ref="A39:D39"/>
    <mergeCell ref="A40:D40"/>
  </mergeCells>
  <dataValidations count="2">
    <dataValidation allowBlank="1" showInputMessage="1" showErrorMessage="1" promptTitle="BrutoDobit" prompt="Bruto dobit prema Bilansu uspeha, ne obuhvata otplatu glavice." sqref="A37:D37"/>
    <dataValidation allowBlank="1" showInputMessage="1" showErrorMessage="1" promptTitle="CashFlow" prompt="Ne obuhvata amortizaciju, ali obuhvata otplatu glavnice." sqref="A42"/>
  </dataValidations>
  <hyperlinks>
    <hyperlink ref="I7:J7" location="FinaIndikatori!I1" display="NAZAD"/>
    <hyperlink ref="N7:O7" location="GrafFina!A1" display="DALJE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3:J12"/>
  <sheetViews>
    <sheetView workbookViewId="0">
      <selection activeCell="O4" sqref="O4"/>
    </sheetView>
  </sheetViews>
  <sheetFormatPr defaultRowHeight="15" x14ac:dyDescent="0.25"/>
  <sheetData>
    <row r="3" spans="1:10" ht="16.5" x14ac:dyDescent="0.35">
      <c r="G3" s="57" t="s">
        <v>154</v>
      </c>
      <c r="H3" s="57"/>
      <c r="I3" s="57"/>
      <c r="J3" s="57"/>
    </row>
    <row r="7" spans="1:10" ht="15" customHeight="1" x14ac:dyDescent="0.25">
      <c r="A7" s="59" t="s">
        <v>126</v>
      </c>
      <c r="B7" s="59"/>
      <c r="C7" s="59"/>
      <c r="D7" s="59"/>
    </row>
    <row r="8" spans="1:10" ht="15" customHeight="1" x14ac:dyDescent="0.25">
      <c r="A8" s="59"/>
      <c r="B8" s="59"/>
      <c r="C8" s="59"/>
      <c r="D8" s="59"/>
    </row>
    <row r="9" spans="1:10" x14ac:dyDescent="0.25">
      <c r="A9" s="59"/>
      <c r="B9" s="59"/>
      <c r="C9" s="59"/>
      <c r="D9" s="59"/>
    </row>
    <row r="11" spans="1:10" x14ac:dyDescent="0.25">
      <c r="A11" s="62" t="s">
        <v>139</v>
      </c>
      <c r="B11" s="62"/>
      <c r="C11" s="75" t="s">
        <v>140</v>
      </c>
      <c r="D11" s="75"/>
    </row>
    <row r="12" spans="1:10" x14ac:dyDescent="0.25">
      <c r="A12" s="62"/>
      <c r="B12" s="62"/>
      <c r="C12" s="75"/>
      <c r="D12" s="75"/>
    </row>
  </sheetData>
  <sheetProtection selectLockedCells="1" selectUnlockedCells="1"/>
  <mergeCells count="4">
    <mergeCell ref="A7:D9"/>
    <mergeCell ref="A11:B12"/>
    <mergeCell ref="C11:D12"/>
    <mergeCell ref="G3:J3"/>
  </mergeCells>
  <hyperlinks>
    <hyperlink ref="A11:B12" location="EkonIndikatori!I1" display="NAZAD"/>
    <hyperlink ref="C11:D12" location="GrafEkon!A1" display="DALJE"/>
  </hyperlink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16</vt:i4>
      </vt:variant>
      <vt:variant>
        <vt:lpstr>Named Ranges</vt:lpstr>
      </vt:variant>
      <vt:variant>
        <vt:i4>17</vt:i4>
      </vt:variant>
    </vt:vector>
  </HeadingPairs>
  <TitlesOfParts>
    <vt:vector size="33" baseType="lpstr">
      <vt:lpstr>Pocetna</vt:lpstr>
      <vt:lpstr>KonvFaktor</vt:lpstr>
      <vt:lpstr>PomTab1</vt:lpstr>
      <vt:lpstr>UnosPodataka</vt:lpstr>
      <vt:lpstr>TrosakEnergije</vt:lpstr>
      <vt:lpstr>Anuiteti</vt:lpstr>
      <vt:lpstr>FinaIndikatori</vt:lpstr>
      <vt:lpstr>FinInd+CO2</vt:lpstr>
      <vt:lpstr>GrafFina</vt:lpstr>
      <vt:lpstr>Graf+CO2</vt:lpstr>
      <vt:lpstr>LCoEE</vt:lpstr>
      <vt:lpstr>Osetljivost</vt:lpstr>
      <vt:lpstr>AkoESCO</vt:lpstr>
      <vt:lpstr>ESCOGrafFina</vt:lpstr>
      <vt:lpstr>REZIME</vt:lpstr>
      <vt:lpstr>Gorivo</vt:lpstr>
      <vt:lpstr>Biomass</vt:lpstr>
      <vt:lpstr>BMPrice</vt:lpstr>
      <vt:lpstr>CARBON</vt:lpstr>
      <vt:lpstr>CERT</vt:lpstr>
      <vt:lpstr>CO2Tax</vt:lpstr>
      <vt:lpstr>EPOW</vt:lpstr>
      <vt:lpstr>EPrice</vt:lpstr>
      <vt:lpstr>Equity</vt:lpstr>
      <vt:lpstr>eta</vt:lpstr>
      <vt:lpstr>etagrid</vt:lpstr>
      <vt:lpstr>HEAT</vt:lpstr>
      <vt:lpstr>HPrice</vt:lpstr>
      <vt:lpstr>Investment</vt:lpstr>
      <vt:lpstr>LCoE</vt:lpstr>
      <vt:lpstr>Loan</vt:lpstr>
      <vt:lpstr>PROJEKAT</vt:lpstr>
      <vt:lpstr>WHOUR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2022-05-19T14:49:19Z</dcterms:created>
  <dcterms:modified xsi:type="dcterms:W3CDTF">2023-07-21T07:17:25Z</dcterms:modified>
</cp:coreProperties>
</file>