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drawings/drawing10.xml" ContentType="application/vnd.openxmlformats-officedocument.drawing+xml"/>
  <Override PartName="/xl/charts/chart2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3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4.xml" ContentType="application/vnd.openxmlformats-officedocument.drawingml.chart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hidePivotFieldList="1"/>
  <bookViews>
    <workbookView xWindow="-120" yWindow="-120" windowWidth="29040" windowHeight="15840" firstSheet="3" activeTab="14"/>
  </bookViews>
  <sheets>
    <sheet name="Pocetna" sheetId="1" r:id="rId1"/>
    <sheet name="KonvFaktor" sheetId="17" r:id="rId2"/>
    <sheet name="PomTab1" sheetId="4" r:id="rId3"/>
    <sheet name="UnosPodataka" sheetId="2" r:id="rId4"/>
    <sheet name="EnergyCosts" sheetId="5" r:id="rId5"/>
    <sheet name="Annuity" sheetId="6" r:id="rId6"/>
    <sheet name="FinaIndicators" sheetId="7" r:id="rId7"/>
    <sheet name="FinInd+CO2" sheetId="9" r:id="rId8"/>
    <sheet name="GraphFina" sheetId="10" r:id="rId9"/>
    <sheet name="Graf+CO2" sheetId="11" r:id="rId10"/>
    <sheet name="LCoEE" sheetId="12" r:id="rId11"/>
    <sheet name="Osetljivost" sheetId="13" r:id="rId12"/>
    <sheet name="AkoESCO" sheetId="14" r:id="rId13"/>
    <sheet name="ESCOGrafFina" sheetId="15" r:id="rId14"/>
    <sheet name="REZIME" sheetId="16" r:id="rId15"/>
    <sheet name="Goriva" sheetId="18" state="hidden" r:id="rId16"/>
  </sheets>
  <externalReferences>
    <externalReference r:id="rId17"/>
    <externalReference r:id="rId18"/>
    <externalReference r:id="rId19"/>
  </externalReferences>
  <definedNames>
    <definedName name="CO2Tax">UnosPodataka!$M$13</definedName>
    <definedName name="ECOST">EnergyCosts!$J$10</definedName>
    <definedName name="EPROD">EnergyCosts!$J$9</definedName>
    <definedName name="Equity">UnosPodataka!$F$27</definedName>
    <definedName name="FIRR">FinaIndicators!$E$46</definedName>
    <definedName name="FNPV">FinaIndicators!$E$45</definedName>
    <definedName name="GreenPV">EnergyCosts!#REF!</definedName>
    <definedName name="HEAT">[1]EnergyCosts!$J$9</definedName>
    <definedName name="InfRate" comment="Inflacija">0</definedName>
    <definedName name="Investment">UnosPodataka!$F$20</definedName>
    <definedName name="Kurs_EUR" comment="Obračunski kurs EUR na dan 11-04-2023">117.288</definedName>
    <definedName name="LCoEE">LCoEE!$E$19</definedName>
    <definedName name="Loan">UnosPodataka!$F$30</definedName>
    <definedName name="PDV" comment="Porez na dodatu vrednost (opšti)">0.2</definedName>
    <definedName name="PROJEKAT">Pocetna!$M$12</definedName>
    <definedName name="VAT" comment="Porez na poslovanje kompanije">0.15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17" l="1"/>
  <c r="C18" i="17" l="1"/>
  <c r="E17" i="17"/>
  <c r="D17" i="17"/>
  <c r="E16" i="17"/>
  <c r="D16" i="17"/>
  <c r="E15" i="17"/>
  <c r="D15" i="17"/>
  <c r="D14" i="17"/>
  <c r="E14" i="17" s="1"/>
  <c r="D13" i="17"/>
  <c r="E13" i="17" s="1"/>
  <c r="E12" i="17"/>
  <c r="E18" i="17" l="1"/>
  <c r="E21" i="17" s="1"/>
  <c r="Q39" i="4" s="1"/>
  <c r="H24" i="9"/>
  <c r="I24" i="9"/>
  <c r="J24" i="9"/>
  <c r="K24" i="9"/>
  <c r="L24" i="9"/>
  <c r="M24" i="9"/>
  <c r="N24" i="9"/>
  <c r="O24" i="9"/>
  <c r="P24" i="9"/>
  <c r="Q24" i="9"/>
  <c r="R24" i="9"/>
  <c r="S24" i="9"/>
  <c r="T24" i="9"/>
  <c r="U24" i="9"/>
  <c r="V24" i="9"/>
  <c r="W24" i="9"/>
  <c r="X24" i="9"/>
  <c r="Y24" i="9"/>
  <c r="G24" i="9"/>
  <c r="F24" i="9"/>
  <c r="H22" i="7"/>
  <c r="I22" i="7"/>
  <c r="J22" i="7"/>
  <c r="K22" i="7"/>
  <c r="L22" i="7"/>
  <c r="M22" i="7"/>
  <c r="N22" i="7"/>
  <c r="O22" i="7"/>
  <c r="P22" i="7"/>
  <c r="Q22" i="7"/>
  <c r="R22" i="7"/>
  <c r="S22" i="7"/>
  <c r="T22" i="7"/>
  <c r="U22" i="7"/>
  <c r="V22" i="7"/>
  <c r="W22" i="7"/>
  <c r="X22" i="7"/>
  <c r="Y22" i="7"/>
  <c r="G22" i="7"/>
  <c r="F22" i="7"/>
  <c r="F20" i="2"/>
  <c r="M13" i="2"/>
  <c r="J10" i="5"/>
  <c r="L24" i="4"/>
  <c r="L23" i="4"/>
  <c r="X15" i="9" l="1"/>
  <c r="T15" i="9"/>
  <c r="P15" i="9"/>
  <c r="L15" i="9"/>
  <c r="H15" i="9"/>
  <c r="W15" i="9"/>
  <c r="S15" i="9"/>
  <c r="O15" i="9"/>
  <c r="K15" i="9"/>
  <c r="V15" i="9"/>
  <c r="R15" i="9"/>
  <c r="N15" i="9"/>
  <c r="J15" i="9"/>
  <c r="Y15" i="9"/>
  <c r="U15" i="9"/>
  <c r="Q15" i="9"/>
  <c r="M15" i="9"/>
  <c r="I15" i="9"/>
  <c r="G15" i="9"/>
  <c r="K24" i="4"/>
  <c r="K22" i="4"/>
  <c r="E12" i="16"/>
  <c r="E9" i="16"/>
  <c r="E13" i="7" l="1"/>
  <c r="E13" i="9"/>
  <c r="F10" i="14"/>
  <c r="G10" i="14" s="1"/>
  <c r="H10" i="14" s="1"/>
  <c r="I10" i="14" s="1"/>
  <c r="J10" i="14" s="1"/>
  <c r="K10" i="14" s="1"/>
  <c r="L10" i="14" s="1"/>
  <c r="M10" i="14" s="1"/>
  <c r="N10" i="14" s="1"/>
  <c r="O10" i="14" s="1"/>
  <c r="P10" i="14" s="1"/>
  <c r="Q10" i="14" s="1"/>
  <c r="R10" i="14" s="1"/>
  <c r="S10" i="14" s="1"/>
  <c r="T10" i="14" s="1"/>
  <c r="U10" i="14" s="1"/>
  <c r="V10" i="14" s="1"/>
  <c r="W10" i="14" s="1"/>
  <c r="X10" i="14" s="1"/>
  <c r="Y10" i="14" s="1"/>
  <c r="M24" i="2" l="1"/>
  <c r="J9" i="5" l="1"/>
  <c r="F10" i="12"/>
  <c r="G28" i="9"/>
  <c r="H28" i="9"/>
  <c r="I28" i="9"/>
  <c r="J28" i="9"/>
  <c r="K28" i="9"/>
  <c r="L28" i="9"/>
  <c r="M28" i="9"/>
  <c r="N28" i="9"/>
  <c r="O28" i="9"/>
  <c r="P28" i="9"/>
  <c r="Q28" i="9"/>
  <c r="R28" i="9"/>
  <c r="S28" i="9"/>
  <c r="T28" i="9"/>
  <c r="U28" i="9"/>
  <c r="V28" i="9"/>
  <c r="W28" i="9"/>
  <c r="X28" i="9"/>
  <c r="Y28" i="9"/>
  <c r="F28" i="9"/>
  <c r="G10" i="12" l="1"/>
  <c r="G9" i="9"/>
  <c r="G26" i="7"/>
  <c r="H26" i="7"/>
  <c r="I26" i="7"/>
  <c r="J26" i="7"/>
  <c r="K26" i="7"/>
  <c r="L26" i="7"/>
  <c r="M26" i="7"/>
  <c r="N26" i="7"/>
  <c r="O26" i="7"/>
  <c r="P26" i="7"/>
  <c r="Q26" i="7"/>
  <c r="R26" i="7"/>
  <c r="S26" i="7"/>
  <c r="T26" i="7"/>
  <c r="U26" i="7"/>
  <c r="V26" i="7"/>
  <c r="W26" i="7"/>
  <c r="X26" i="7"/>
  <c r="Y26" i="7"/>
  <c r="F26" i="7"/>
  <c r="G9" i="7"/>
  <c r="H10" i="12" l="1"/>
  <c r="H9" i="7"/>
  <c r="H9" i="9"/>
  <c r="F14" i="9"/>
  <c r="I10" i="12" l="1"/>
  <c r="I9" i="9"/>
  <c r="I14" i="9" s="1"/>
  <c r="I27" i="9" s="1"/>
  <c r="F27" i="9"/>
  <c r="F15" i="9"/>
  <c r="I9" i="7"/>
  <c r="H14" i="9"/>
  <c r="H27" i="9" s="1"/>
  <c r="G14" i="9"/>
  <c r="G27" i="9" s="1"/>
  <c r="H14" i="7"/>
  <c r="H25" i="7" s="1"/>
  <c r="F14" i="7"/>
  <c r="F25" i="7" s="1"/>
  <c r="G14" i="7"/>
  <c r="G25" i="7" s="1"/>
  <c r="J10" i="12" l="1"/>
  <c r="I14" i="7"/>
  <c r="I25" i="7" s="1"/>
  <c r="J9" i="9"/>
  <c r="J9" i="7"/>
  <c r="F17" i="7"/>
  <c r="F27" i="7" s="1"/>
  <c r="F18" i="9"/>
  <c r="F29" i="9" s="1"/>
  <c r="F19" i="9"/>
  <c r="K10" i="12" l="1"/>
  <c r="K9" i="9"/>
  <c r="J14" i="9"/>
  <c r="J27" i="9" s="1"/>
  <c r="K9" i="7"/>
  <c r="J14" i="7"/>
  <c r="J25" i="7" s="1"/>
  <c r="F16" i="12"/>
  <c r="L10" i="12" l="1"/>
  <c r="L9" i="9"/>
  <c r="K14" i="9"/>
  <c r="K27" i="9" s="1"/>
  <c r="L9" i="7"/>
  <c r="K14" i="7"/>
  <c r="K25" i="7" s="1"/>
  <c r="F17" i="12"/>
  <c r="M10" i="12" l="1"/>
  <c r="M9" i="9"/>
  <c r="L14" i="9"/>
  <c r="L27" i="9" s="1"/>
  <c r="M9" i="7"/>
  <c r="L14" i="7"/>
  <c r="L25" i="7" s="1"/>
  <c r="F25" i="9"/>
  <c r="N10" i="12" l="1"/>
  <c r="N9" i="9"/>
  <c r="M14" i="9"/>
  <c r="M27" i="9" s="1"/>
  <c r="N9" i="7"/>
  <c r="M14" i="7"/>
  <c r="M25" i="7" s="1"/>
  <c r="G18" i="9"/>
  <c r="G29" i="9" s="1"/>
  <c r="G25" i="9"/>
  <c r="O10" i="12" l="1"/>
  <c r="O9" i="9"/>
  <c r="N14" i="9"/>
  <c r="N27" i="9" s="1"/>
  <c r="O9" i="7"/>
  <c r="N14" i="7"/>
  <c r="N25" i="7" s="1"/>
  <c r="G19" i="9"/>
  <c r="H18" i="9"/>
  <c r="H29" i="9" s="1"/>
  <c r="H25" i="9"/>
  <c r="P10" i="12" l="1"/>
  <c r="P9" i="9"/>
  <c r="O14" i="9"/>
  <c r="O27" i="9" s="1"/>
  <c r="P9" i="7"/>
  <c r="O14" i="7"/>
  <c r="O25" i="7" s="1"/>
  <c r="H19" i="9"/>
  <c r="I18" i="9"/>
  <c r="I29" i="9" s="1"/>
  <c r="I25" i="9"/>
  <c r="G17" i="12"/>
  <c r="Q10" i="12" l="1"/>
  <c r="Q9" i="9"/>
  <c r="P14" i="9"/>
  <c r="P27" i="9" s="1"/>
  <c r="Q9" i="7"/>
  <c r="P21" i="7"/>
  <c r="P23" i="9" s="1"/>
  <c r="P14" i="7"/>
  <c r="P25" i="7" s="1"/>
  <c r="I17" i="12"/>
  <c r="J18" i="9"/>
  <c r="J29" i="9" s="1"/>
  <c r="J25" i="9"/>
  <c r="H17" i="12"/>
  <c r="R10" i="12" l="1"/>
  <c r="R9" i="9"/>
  <c r="Q14" i="9"/>
  <c r="Q27" i="9" s="1"/>
  <c r="R9" i="7"/>
  <c r="Q21" i="7"/>
  <c r="Q23" i="9" s="1"/>
  <c r="Q14" i="7"/>
  <c r="Q25" i="7" s="1"/>
  <c r="I19" i="9"/>
  <c r="J19" i="9"/>
  <c r="K18" i="9"/>
  <c r="K29" i="9" s="1"/>
  <c r="K25" i="9"/>
  <c r="S10" i="12" l="1"/>
  <c r="R14" i="9"/>
  <c r="R27" i="9" s="1"/>
  <c r="S9" i="9"/>
  <c r="S9" i="7"/>
  <c r="R21" i="7"/>
  <c r="R23" i="9" s="1"/>
  <c r="R14" i="7"/>
  <c r="K17" i="12"/>
  <c r="L18" i="9"/>
  <c r="L29" i="9" s="1"/>
  <c r="L25" i="9"/>
  <c r="J17" i="12"/>
  <c r="M25" i="9"/>
  <c r="T10" i="12" l="1"/>
  <c r="T9" i="9"/>
  <c r="S14" i="9"/>
  <c r="S27" i="9" s="1"/>
  <c r="R25" i="7"/>
  <c r="R16" i="12"/>
  <c r="T9" i="7"/>
  <c r="S21" i="7"/>
  <c r="S23" i="9" s="1"/>
  <c r="S14" i="7"/>
  <c r="K19" i="9"/>
  <c r="L19" i="9"/>
  <c r="M18" i="9"/>
  <c r="M29" i="9" s="1"/>
  <c r="N25" i="9"/>
  <c r="U10" i="12" l="1"/>
  <c r="U9" i="9"/>
  <c r="T14" i="9"/>
  <c r="T27" i="9" s="1"/>
  <c r="U9" i="7"/>
  <c r="T21" i="7"/>
  <c r="T23" i="9" s="1"/>
  <c r="T14" i="7"/>
  <c r="S25" i="7"/>
  <c r="S16" i="12"/>
  <c r="M19" i="9"/>
  <c r="N18" i="9"/>
  <c r="N29" i="9" s="1"/>
  <c r="L17" i="12"/>
  <c r="O18" i="9"/>
  <c r="O29" i="9" s="1"/>
  <c r="N19" i="9"/>
  <c r="O25" i="9"/>
  <c r="V10" i="12" l="1"/>
  <c r="V9" i="9"/>
  <c r="U14" i="9"/>
  <c r="U27" i="9" s="1"/>
  <c r="T25" i="7"/>
  <c r="T16" i="12"/>
  <c r="V9" i="7"/>
  <c r="U21" i="7"/>
  <c r="U23" i="9" s="1"/>
  <c r="U14" i="7"/>
  <c r="O19" i="9"/>
  <c r="M17" i="12"/>
  <c r="P18" i="9"/>
  <c r="P29" i="9" s="1"/>
  <c r="N17" i="12"/>
  <c r="P25" i="9"/>
  <c r="W10" i="12" l="1"/>
  <c r="V14" i="9"/>
  <c r="V27" i="9" s="1"/>
  <c r="W9" i="9"/>
  <c r="W9" i="7"/>
  <c r="V21" i="7"/>
  <c r="V23" i="9" s="1"/>
  <c r="V14" i="7"/>
  <c r="U25" i="7"/>
  <c r="U16" i="12"/>
  <c r="P19" i="9"/>
  <c r="Q18" i="9"/>
  <c r="Q29" i="9" s="1"/>
  <c r="O17" i="12"/>
  <c r="Q25" i="9"/>
  <c r="X10" i="12" l="1"/>
  <c r="X9" i="9"/>
  <c r="W14" i="9"/>
  <c r="W27" i="9" s="1"/>
  <c r="V25" i="7"/>
  <c r="V16" i="12"/>
  <c r="X9" i="7"/>
  <c r="W21" i="7"/>
  <c r="W23" i="9" s="1"/>
  <c r="W14" i="7"/>
  <c r="Q19" i="9"/>
  <c r="R18" i="9"/>
  <c r="R29" i="9" s="1"/>
  <c r="P17" i="12"/>
  <c r="R25" i="9"/>
  <c r="Y10" i="12" l="1"/>
  <c r="Y9" i="9"/>
  <c r="X14" i="9"/>
  <c r="X27" i="9" s="1"/>
  <c r="Y9" i="7"/>
  <c r="X21" i="7"/>
  <c r="X23" i="9" s="1"/>
  <c r="X14" i="7"/>
  <c r="W25" i="7"/>
  <c r="W16" i="12"/>
  <c r="S18" i="9"/>
  <c r="S29" i="9" s="1"/>
  <c r="R19" i="9"/>
  <c r="Q17" i="12"/>
  <c r="R17" i="12"/>
  <c r="S25" i="9"/>
  <c r="Y14" i="9" l="1"/>
  <c r="Y27" i="9" s="1"/>
  <c r="X25" i="7"/>
  <c r="X16" i="12"/>
  <c r="Y21" i="7"/>
  <c r="Y23" i="9" s="1"/>
  <c r="Y14" i="7"/>
  <c r="S19" i="9"/>
  <c r="T18" i="9"/>
  <c r="T29" i="9" s="1"/>
  <c r="T25" i="9"/>
  <c r="Y25" i="7" l="1"/>
  <c r="Y16" i="12"/>
  <c r="S17" i="12"/>
  <c r="U18" i="9"/>
  <c r="U29" i="9" s="1"/>
  <c r="T19" i="9"/>
  <c r="U25" i="9"/>
  <c r="V18" i="9" l="1"/>
  <c r="V29" i="9" s="1"/>
  <c r="U19" i="9"/>
  <c r="T17" i="12"/>
  <c r="V25" i="9"/>
  <c r="W18" i="9" l="1"/>
  <c r="W29" i="9" s="1"/>
  <c r="U17" i="12"/>
  <c r="V19" i="9"/>
  <c r="W25" i="9"/>
  <c r="W19" i="9" l="1"/>
  <c r="X18" i="9"/>
  <c r="X29" i="9" s="1"/>
  <c r="V17" i="12"/>
  <c r="X25" i="9"/>
  <c r="Y18" i="9" l="1"/>
  <c r="Y29" i="9" s="1"/>
  <c r="W17" i="12"/>
  <c r="X19" i="9"/>
  <c r="Y25" i="9"/>
  <c r="Y19" i="9" l="1"/>
  <c r="X17" i="12"/>
  <c r="F23" i="7"/>
  <c r="B14" i="6"/>
  <c r="B15" i="6" l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Y17" i="12"/>
  <c r="G23" i="7"/>
  <c r="G17" i="7" l="1"/>
  <c r="G27" i="7" s="1"/>
  <c r="G16" i="12"/>
  <c r="H16" i="12"/>
  <c r="H23" i="7"/>
  <c r="H17" i="7" l="1"/>
  <c r="H27" i="7" s="1"/>
  <c r="I23" i="7"/>
  <c r="I17" i="7" l="1"/>
  <c r="I27" i="7" s="1"/>
  <c r="I16" i="12"/>
  <c r="J23" i="7"/>
  <c r="J17" i="7" l="1"/>
  <c r="J27" i="7" s="1"/>
  <c r="J16" i="12"/>
  <c r="K23" i="7"/>
  <c r="K17" i="7" l="1"/>
  <c r="K27" i="7" s="1"/>
  <c r="K16" i="12"/>
  <c r="L23" i="7"/>
  <c r="L17" i="7" l="1"/>
  <c r="L27" i="7" s="1"/>
  <c r="L16" i="12"/>
  <c r="M23" i="7"/>
  <c r="M17" i="7" l="1"/>
  <c r="M27" i="7" s="1"/>
  <c r="M16" i="12"/>
  <c r="N16" i="12"/>
  <c r="N23" i="7"/>
  <c r="N17" i="7" l="1"/>
  <c r="N27" i="7" s="1"/>
  <c r="O16" i="12"/>
  <c r="O23" i="7"/>
  <c r="O17" i="7" l="1"/>
  <c r="O27" i="7" s="1"/>
  <c r="P16" i="12"/>
  <c r="P23" i="7"/>
  <c r="P17" i="7" l="1"/>
  <c r="P27" i="7" s="1"/>
  <c r="Q16" i="12"/>
  <c r="Y31" i="9"/>
  <c r="Q23" i="7"/>
  <c r="Q17" i="7" l="1"/>
  <c r="Q27" i="7" s="1"/>
  <c r="R17" i="7"/>
  <c r="R27" i="7" s="1"/>
  <c r="P18" i="7"/>
  <c r="Y20" i="9"/>
  <c r="X31" i="9"/>
  <c r="X20" i="9"/>
  <c r="T31" i="9"/>
  <c r="T20" i="9"/>
  <c r="W31" i="9"/>
  <c r="W20" i="9"/>
  <c r="S31" i="9"/>
  <c r="S20" i="9"/>
  <c r="U31" i="9"/>
  <c r="U20" i="9"/>
  <c r="V20" i="9"/>
  <c r="V31" i="9"/>
  <c r="R31" i="9"/>
  <c r="R20" i="9"/>
  <c r="F20" i="9"/>
  <c r="J20" i="9"/>
  <c r="Q20" i="9"/>
  <c r="M20" i="9"/>
  <c r="P20" i="9"/>
  <c r="L20" i="9"/>
  <c r="N20" i="9"/>
  <c r="O20" i="9"/>
  <c r="K20" i="9"/>
  <c r="H20" i="9"/>
  <c r="I20" i="9"/>
  <c r="G20" i="9"/>
  <c r="R23" i="7"/>
  <c r="Q31" i="9"/>
  <c r="I31" i="9"/>
  <c r="P31" i="9"/>
  <c r="L31" i="9"/>
  <c r="O31" i="9"/>
  <c r="K31" i="9"/>
  <c r="G31" i="9"/>
  <c r="M31" i="9"/>
  <c r="H31" i="9"/>
  <c r="N31" i="9"/>
  <c r="J31" i="9"/>
  <c r="F31" i="9"/>
  <c r="O29" i="7"/>
  <c r="O12" i="14" s="1"/>
  <c r="O13" i="14" s="1"/>
  <c r="O18" i="7"/>
  <c r="J29" i="7"/>
  <c r="J12" i="14" s="1"/>
  <c r="J13" i="14" s="1"/>
  <c r="J18" i="7"/>
  <c r="K29" i="7"/>
  <c r="K12" i="14" s="1"/>
  <c r="K13" i="14" s="1"/>
  <c r="K18" i="7"/>
  <c r="G29" i="7"/>
  <c r="G12" i="14" s="1"/>
  <c r="G13" i="14" s="1"/>
  <c r="G18" i="7"/>
  <c r="P29" i="7"/>
  <c r="P12" i="14" s="1"/>
  <c r="P13" i="14" s="1"/>
  <c r="F29" i="7"/>
  <c r="F12" i="14" s="1"/>
  <c r="F18" i="7"/>
  <c r="M29" i="7"/>
  <c r="M12" i="14" s="1"/>
  <c r="M13" i="14" s="1"/>
  <c r="M18" i="7"/>
  <c r="L29" i="7"/>
  <c r="L12" i="14" s="1"/>
  <c r="L13" i="14" s="1"/>
  <c r="L18" i="7"/>
  <c r="N29" i="7"/>
  <c r="N12" i="14" s="1"/>
  <c r="N13" i="14" s="1"/>
  <c r="N18" i="7"/>
  <c r="I29" i="7"/>
  <c r="I12" i="14" s="1"/>
  <c r="I13" i="14" s="1"/>
  <c r="I18" i="7"/>
  <c r="H29" i="7"/>
  <c r="H12" i="14" s="1"/>
  <c r="H13" i="14" s="1"/>
  <c r="H18" i="7"/>
  <c r="C25" i="4"/>
  <c r="L57" i="9" l="1"/>
  <c r="L58" i="9" s="1"/>
  <c r="T57" i="9"/>
  <c r="T58" i="9" s="1"/>
  <c r="P57" i="9"/>
  <c r="P58" i="9" s="1"/>
  <c r="F57" i="9"/>
  <c r="F58" i="9" s="1"/>
  <c r="F59" i="9" s="1"/>
  <c r="G57" i="9"/>
  <c r="G58" i="9" s="1"/>
  <c r="O57" i="9"/>
  <c r="O58" i="9" s="1"/>
  <c r="M57" i="9"/>
  <c r="M58" i="9" s="1"/>
  <c r="R57" i="9"/>
  <c r="R58" i="9" s="1"/>
  <c r="U57" i="9"/>
  <c r="U58" i="9" s="1"/>
  <c r="W57" i="9"/>
  <c r="W58" i="9" s="1"/>
  <c r="X57" i="9"/>
  <c r="X58" i="9" s="1"/>
  <c r="H57" i="9"/>
  <c r="H58" i="9" s="1"/>
  <c r="J57" i="9"/>
  <c r="J58" i="9" s="1"/>
  <c r="S57" i="9"/>
  <c r="S58" i="9" s="1"/>
  <c r="Y57" i="9"/>
  <c r="Y58" i="9" s="1"/>
  <c r="K57" i="9"/>
  <c r="K58" i="9" s="1"/>
  <c r="V57" i="9"/>
  <c r="V58" i="9" s="1"/>
  <c r="I57" i="9"/>
  <c r="I58" i="9" s="1"/>
  <c r="N57" i="9"/>
  <c r="N58" i="9" s="1"/>
  <c r="Q57" i="9"/>
  <c r="Q58" i="9" s="1"/>
  <c r="H55" i="7"/>
  <c r="M55" i="7"/>
  <c r="G55" i="7"/>
  <c r="J55" i="7"/>
  <c r="N55" i="7"/>
  <c r="I55" i="7"/>
  <c r="L55" i="7"/>
  <c r="F55" i="7"/>
  <c r="P55" i="7"/>
  <c r="K55" i="7"/>
  <c r="O55" i="7"/>
  <c r="F13" i="14"/>
  <c r="S17" i="7"/>
  <c r="S27" i="7" s="1"/>
  <c r="S23" i="7"/>
  <c r="G59" i="9" l="1"/>
  <c r="G64" i="9" s="1"/>
  <c r="F64" i="9"/>
  <c r="T17" i="7"/>
  <c r="T27" i="7" s="1"/>
  <c r="R18" i="7"/>
  <c r="Q29" i="7"/>
  <c r="Q12" i="14" s="1"/>
  <c r="Q18" i="7"/>
  <c r="R29" i="7"/>
  <c r="R12" i="14" s="1"/>
  <c r="R13" i="14" s="1"/>
  <c r="E12" i="7"/>
  <c r="E12" i="9"/>
  <c r="E28" i="6"/>
  <c r="E25" i="6"/>
  <c r="T23" i="7"/>
  <c r="H59" i="9" l="1"/>
  <c r="H64" i="9" s="1"/>
  <c r="Q55" i="7"/>
  <c r="Q13" i="14"/>
  <c r="R55" i="7"/>
  <c r="U17" i="7"/>
  <c r="U27" i="7" s="1"/>
  <c r="E27" i="6"/>
  <c r="E32" i="6"/>
  <c r="E31" i="6"/>
  <c r="E26" i="6"/>
  <c r="E29" i="6"/>
  <c r="U23" i="7"/>
  <c r="I59" i="9" l="1"/>
  <c r="I64" i="9" s="1"/>
  <c r="V17" i="7"/>
  <c r="V27" i="7" s="1"/>
  <c r="S29" i="7"/>
  <c r="S18" i="7"/>
  <c r="V23" i="7"/>
  <c r="J59" i="9" l="1"/>
  <c r="K59" i="9" s="1"/>
  <c r="S12" i="14"/>
  <c r="S55" i="7"/>
  <c r="W17" i="7"/>
  <c r="W27" i="7" s="1"/>
  <c r="T18" i="7"/>
  <c r="T29" i="7"/>
  <c r="E24" i="6"/>
  <c r="E23" i="6"/>
  <c r="W23" i="7"/>
  <c r="J64" i="9" l="1"/>
  <c r="T12" i="14"/>
  <c r="T13" i="14" s="1"/>
  <c r="S13" i="14"/>
  <c r="T55" i="7"/>
  <c r="X17" i="7"/>
  <c r="X27" i="7" s="1"/>
  <c r="U18" i="7"/>
  <c r="U29" i="7"/>
  <c r="X23" i="7"/>
  <c r="K64" i="9"/>
  <c r="L59" i="9"/>
  <c r="U12" i="14" l="1"/>
  <c r="U55" i="7"/>
  <c r="Y17" i="7"/>
  <c r="Y27" i="7" s="1"/>
  <c r="V18" i="7"/>
  <c r="V29" i="7"/>
  <c r="Y23" i="7"/>
  <c r="L64" i="9"/>
  <c r="M59" i="9"/>
  <c r="U13" i="14" l="1"/>
  <c r="V12" i="14"/>
  <c r="V13" i="14" s="1"/>
  <c r="V55" i="7"/>
  <c r="W18" i="7"/>
  <c r="W29" i="7"/>
  <c r="M64" i="9"/>
  <c r="N59" i="9"/>
  <c r="W12" i="14" l="1"/>
  <c r="W13" i="14" s="1"/>
  <c r="W55" i="7"/>
  <c r="Y29" i="7"/>
  <c r="X18" i="7"/>
  <c r="X29" i="7"/>
  <c r="N64" i="9"/>
  <c r="O59" i="9"/>
  <c r="Y12" i="14" l="1"/>
  <c r="X12" i="14"/>
  <c r="X13" i="14" s="1"/>
  <c r="X55" i="7"/>
  <c r="Y18" i="7"/>
  <c r="O64" i="9"/>
  <c r="P59" i="9"/>
  <c r="Y13" i="14" l="1"/>
  <c r="E15" i="14"/>
  <c r="Y55" i="7"/>
  <c r="P64" i="9"/>
  <c r="Q59" i="9"/>
  <c r="Q64" i="9" l="1"/>
  <c r="R59" i="9"/>
  <c r="S59" i="9" l="1"/>
  <c r="R64" i="9"/>
  <c r="S64" i="9" l="1"/>
  <c r="T59" i="9"/>
  <c r="C23" i="6"/>
  <c r="U59" i="9" l="1"/>
  <c r="T64" i="9"/>
  <c r="D23" i="6"/>
  <c r="U64" i="9" l="1"/>
  <c r="V59" i="9"/>
  <c r="C24" i="6"/>
  <c r="W59" i="9" l="1"/>
  <c r="D24" i="6"/>
  <c r="V64" i="9"/>
  <c r="W64" i="9" l="1"/>
  <c r="C25" i="6"/>
  <c r="D25" i="6" s="1"/>
  <c r="X59" i="9"/>
  <c r="X64" i="9" s="1"/>
  <c r="C26" i="6" l="1"/>
  <c r="D26" i="6" s="1"/>
  <c r="Y59" i="9"/>
  <c r="Y64" i="9" s="1"/>
  <c r="C27" i="6" l="1"/>
  <c r="D27" i="6" s="1"/>
  <c r="C28" i="6" l="1"/>
  <c r="D28" i="6" l="1"/>
  <c r="C29" i="6" l="1"/>
  <c r="D29" i="6" l="1"/>
  <c r="C30" i="6" l="1"/>
  <c r="D30" i="6" s="1"/>
  <c r="C31" i="6" l="1"/>
  <c r="D31" i="6" s="1"/>
  <c r="C32" i="6" l="1"/>
  <c r="D32" i="6" s="1"/>
  <c r="E30" i="6" l="1"/>
  <c r="G28" i="7"/>
  <c r="G30" i="9" s="1"/>
  <c r="W28" i="7"/>
  <c r="W30" i="9" s="1"/>
  <c r="X28" i="7"/>
  <c r="X30" i="9" s="1"/>
  <c r="H28" i="7"/>
  <c r="H30" i="9" s="1"/>
  <c r="Q28" i="7"/>
  <c r="Q30" i="9" s="1"/>
  <c r="R28" i="7"/>
  <c r="R30" i="9" s="1"/>
  <c r="U24" i="7"/>
  <c r="M28" i="7"/>
  <c r="M30" i="9" s="1"/>
  <c r="F28" i="7"/>
  <c r="F30" i="9" s="1"/>
  <c r="V28" i="7"/>
  <c r="V30" i="9" s="1"/>
  <c r="Y28" i="7"/>
  <c r="Y30" i="9" s="1"/>
  <c r="S28" i="7"/>
  <c r="S30" i="9" s="1"/>
  <c r="O28" i="7"/>
  <c r="O30" i="9" s="1"/>
  <c r="I28" i="7"/>
  <c r="I30" i="9" s="1"/>
  <c r="P28" i="7"/>
  <c r="P30" i="9" s="1"/>
  <c r="U28" i="7"/>
  <c r="U30" i="9" s="1"/>
  <c r="N28" i="7"/>
  <c r="N30" i="9" s="1"/>
  <c r="J28" i="7"/>
  <c r="J30" i="9" s="1"/>
  <c r="P24" i="7"/>
  <c r="P30" i="7" s="1"/>
  <c r="T28" i="7"/>
  <c r="T30" i="9" s="1"/>
  <c r="R26" i="9"/>
  <c r="X24" i="7"/>
  <c r="L28" i="7"/>
  <c r="L30" i="9" s="1"/>
  <c r="Q24" i="7"/>
  <c r="R24" i="7"/>
  <c r="Y24" i="7"/>
  <c r="V24" i="7"/>
  <c r="T26" i="9"/>
  <c r="P26" i="9"/>
  <c r="S24" i="7"/>
  <c r="K28" i="7"/>
  <c r="K30" i="9" s="1"/>
  <c r="S26" i="9"/>
  <c r="W24" i="7"/>
  <c r="W26" i="9"/>
  <c r="W32" i="9" s="1"/>
  <c r="W54" i="9" s="1"/>
  <c r="Q26" i="9"/>
  <c r="X26" i="9"/>
  <c r="Y26" i="9"/>
  <c r="V26" i="9"/>
  <c r="V32" i="9" s="1"/>
  <c r="U26" i="9"/>
  <c r="F12" i="12"/>
  <c r="T24" i="7"/>
  <c r="L24" i="7"/>
  <c r="O24" i="7"/>
  <c r="G26" i="9"/>
  <c r="L26" i="9"/>
  <c r="J24" i="7"/>
  <c r="F21" i="2"/>
  <c r="K26" i="9"/>
  <c r="I26" i="9"/>
  <c r="N24" i="7"/>
  <c r="F28" i="2"/>
  <c r="F30" i="2" s="1"/>
  <c r="J26" i="9"/>
  <c r="F24" i="7"/>
  <c r="E10" i="16"/>
  <c r="M24" i="7"/>
  <c r="K24" i="7"/>
  <c r="G24" i="7"/>
  <c r="O26" i="9"/>
  <c r="F26" i="9"/>
  <c r="I24" i="7"/>
  <c r="M26" i="9"/>
  <c r="H24" i="7"/>
  <c r="H26" i="9"/>
  <c r="N26" i="9"/>
  <c r="X30" i="7" l="1"/>
  <c r="W30" i="7"/>
  <c r="W33" i="7" s="1"/>
  <c r="Q30" i="7"/>
  <c r="Q33" i="7" s="1"/>
  <c r="Q32" i="9"/>
  <c r="Q35" i="9" s="1"/>
  <c r="U32" i="9"/>
  <c r="U54" i="9" s="1"/>
  <c r="T30" i="7"/>
  <c r="T33" i="7" s="1"/>
  <c r="R30" i="7"/>
  <c r="X32" i="9"/>
  <c r="X54" i="9" s="1"/>
  <c r="X55" i="9" s="1"/>
  <c r="P32" i="9"/>
  <c r="P35" i="9" s="1"/>
  <c r="R32" i="9"/>
  <c r="R54" i="9" s="1"/>
  <c r="V30" i="7"/>
  <c r="V33" i="7" s="1"/>
  <c r="Y30" i="7"/>
  <c r="Y33" i="7" s="1"/>
  <c r="T32" i="9"/>
  <c r="T54" i="9" s="1"/>
  <c r="W61" i="9"/>
  <c r="W55" i="9"/>
  <c r="S30" i="7"/>
  <c r="S33" i="7" s="1"/>
  <c r="Y32" i="9"/>
  <c r="Y35" i="9" s="1"/>
  <c r="S32" i="9"/>
  <c r="S54" i="9" s="1"/>
  <c r="U30" i="7"/>
  <c r="U33" i="7" s="1"/>
  <c r="E13" i="16"/>
  <c r="E9" i="6"/>
  <c r="E11" i="7"/>
  <c r="K23" i="4"/>
  <c r="E11" i="9"/>
  <c r="E11" i="16"/>
  <c r="U61" i="9"/>
  <c r="U55" i="9"/>
  <c r="V35" i="9"/>
  <c r="V54" i="9"/>
  <c r="U35" i="9"/>
  <c r="P54" i="9"/>
  <c r="R33" i="7"/>
  <c r="X33" i="7"/>
  <c r="P33" i="7"/>
  <c r="W35" i="9"/>
  <c r="Q35" i="7"/>
  <c r="Q13" i="12" s="1"/>
  <c r="Q14" i="12" s="1"/>
  <c r="T35" i="9"/>
  <c r="Q54" i="9" l="1"/>
  <c r="Q61" i="9" s="1"/>
  <c r="X61" i="9"/>
  <c r="X35" i="9"/>
  <c r="X37" i="9" s="1"/>
  <c r="X34" i="9" s="1"/>
  <c r="X40" i="9" s="1"/>
  <c r="S35" i="9"/>
  <c r="S37" i="9" s="1"/>
  <c r="S34" i="9" s="1"/>
  <c r="S40" i="9" s="1"/>
  <c r="R35" i="9"/>
  <c r="R37" i="9" s="1"/>
  <c r="R34" i="9" s="1"/>
  <c r="R40" i="9" s="1"/>
  <c r="Y54" i="9"/>
  <c r="Y61" i="9" s="1"/>
  <c r="T61" i="9"/>
  <c r="T55" i="9"/>
  <c r="S35" i="7"/>
  <c r="S36" i="7" s="1"/>
  <c r="W37" i="9"/>
  <c r="W34" i="9" s="1"/>
  <c r="W40" i="9" s="1"/>
  <c r="P35" i="7"/>
  <c r="P36" i="7" s="1"/>
  <c r="R35" i="7"/>
  <c r="R36" i="7" s="1"/>
  <c r="S55" i="9"/>
  <c r="S61" i="9"/>
  <c r="U37" i="9"/>
  <c r="U34" i="9" s="1"/>
  <c r="U40" i="9" s="1"/>
  <c r="Q55" i="9"/>
  <c r="E36" i="7"/>
  <c r="E42" i="7"/>
  <c r="E43" i="7" s="1"/>
  <c r="E38" i="7"/>
  <c r="E32" i="7"/>
  <c r="T37" i="9"/>
  <c r="T34" i="9" s="1"/>
  <c r="T40" i="9" s="1"/>
  <c r="P61" i="9"/>
  <c r="P55" i="9"/>
  <c r="Q37" i="9"/>
  <c r="Q34" i="9" s="1"/>
  <c r="Q40" i="9" s="1"/>
  <c r="V37" i="9"/>
  <c r="V34" i="9" s="1"/>
  <c r="V40" i="9" s="1"/>
  <c r="E17" i="6"/>
  <c r="E14" i="6"/>
  <c r="E18" i="6"/>
  <c r="E16" i="6"/>
  <c r="E13" i="6"/>
  <c r="E22" i="6"/>
  <c r="E21" i="6"/>
  <c r="E19" i="6"/>
  <c r="E15" i="6"/>
  <c r="D13" i="6"/>
  <c r="F21" i="7" s="1"/>
  <c r="C13" i="6"/>
  <c r="E20" i="6"/>
  <c r="W35" i="7"/>
  <c r="W36" i="7" s="1"/>
  <c r="P37" i="9"/>
  <c r="P34" i="9" s="1"/>
  <c r="P40" i="9" s="1"/>
  <c r="Q32" i="7"/>
  <c r="T35" i="7"/>
  <c r="E40" i="9"/>
  <c r="E34" i="9"/>
  <c r="E63" i="9"/>
  <c r="E44" i="9"/>
  <c r="E45" i="9" s="1"/>
  <c r="E56" i="9"/>
  <c r="U35" i="7"/>
  <c r="U36" i="7" s="1"/>
  <c r="Y35" i="7"/>
  <c r="Y36" i="7" s="1"/>
  <c r="Q36" i="7"/>
  <c r="X35" i="7"/>
  <c r="X36" i="7" s="1"/>
  <c r="V35" i="7"/>
  <c r="V36" i="7" s="1"/>
  <c r="R55" i="9"/>
  <c r="R61" i="9"/>
  <c r="Y37" i="9"/>
  <c r="Y34" i="9" s="1"/>
  <c r="Y40" i="9" s="1"/>
  <c r="V61" i="9"/>
  <c r="V55" i="9"/>
  <c r="K25" i="4"/>
  <c r="L25" i="4" s="1"/>
  <c r="Y55" i="9" l="1"/>
  <c r="W38" i="9"/>
  <c r="X38" i="9"/>
  <c r="T38" i="9"/>
  <c r="S38" i="9"/>
  <c r="P38" i="9"/>
  <c r="E43" i="9"/>
  <c r="U44" i="9" s="1"/>
  <c r="E41" i="7"/>
  <c r="E41" i="9"/>
  <c r="W32" i="7"/>
  <c r="W13" i="12"/>
  <c r="W14" i="12" s="1"/>
  <c r="F23" i="9"/>
  <c r="Q38" i="9"/>
  <c r="U38" i="9"/>
  <c r="Y13" i="12"/>
  <c r="Y14" i="12" s="1"/>
  <c r="Y32" i="7"/>
  <c r="T32" i="7"/>
  <c r="T13" i="12"/>
  <c r="T14" i="12" s="1"/>
  <c r="Q44" i="9"/>
  <c r="P13" i="12"/>
  <c r="P14" i="12" s="1"/>
  <c r="P32" i="7"/>
  <c r="S13" i="12"/>
  <c r="S14" i="12" s="1"/>
  <c r="S32" i="7"/>
  <c r="X32" i="7"/>
  <c r="X13" i="12"/>
  <c r="X14" i="12" s="1"/>
  <c r="T36" i="7"/>
  <c r="E61" i="7"/>
  <c r="E52" i="7"/>
  <c r="E53" i="7" s="1"/>
  <c r="E54" i="7" s="1"/>
  <c r="Y38" i="9"/>
  <c r="V13" i="12"/>
  <c r="V14" i="12" s="1"/>
  <c r="V32" i="7"/>
  <c r="U13" i="12"/>
  <c r="U14" i="12" s="1"/>
  <c r="U32" i="7"/>
  <c r="Q52" i="7"/>
  <c r="Q38" i="7"/>
  <c r="C14" i="6"/>
  <c r="V38" i="9"/>
  <c r="E39" i="7"/>
  <c r="R38" i="9"/>
  <c r="R13" i="12"/>
  <c r="R14" i="12" s="1"/>
  <c r="R32" i="7"/>
  <c r="Q42" i="7" l="1"/>
  <c r="W44" i="9"/>
  <c r="P44" i="9"/>
  <c r="R44" i="9"/>
  <c r="Q53" i="7"/>
  <c r="X44" i="9"/>
  <c r="S44" i="9"/>
  <c r="T44" i="9"/>
  <c r="Y44" i="9"/>
  <c r="V44" i="9"/>
  <c r="R52" i="7"/>
  <c r="R53" i="7" s="1"/>
  <c r="R38" i="7"/>
  <c r="R42" i="7" s="1"/>
  <c r="S38" i="7"/>
  <c r="S42" i="7" s="1"/>
  <c r="S52" i="7"/>
  <c r="S53" i="7" s="1"/>
  <c r="Y52" i="7"/>
  <c r="Y53" i="7" s="1"/>
  <c r="Y38" i="7"/>
  <c r="Y42" i="7" s="1"/>
  <c r="W52" i="7"/>
  <c r="W53" i="7" s="1"/>
  <c r="W38" i="7"/>
  <c r="W42" i="7" s="1"/>
  <c r="D14" i="6"/>
  <c r="G21" i="7" s="1"/>
  <c r="U52" i="7"/>
  <c r="U53" i="7" s="1"/>
  <c r="U38" i="7"/>
  <c r="U42" i="7" s="1"/>
  <c r="T38" i="7"/>
  <c r="T42" i="7" s="1"/>
  <c r="T52" i="7"/>
  <c r="T53" i="7" s="1"/>
  <c r="P52" i="7"/>
  <c r="P53" i="7" s="1"/>
  <c r="P38" i="7"/>
  <c r="P42" i="7" s="1"/>
  <c r="Q56" i="7"/>
  <c r="X56" i="7"/>
  <c r="Y56" i="7"/>
  <c r="N56" i="7"/>
  <c r="I56" i="7"/>
  <c r="M56" i="7"/>
  <c r="U56" i="7"/>
  <c r="S56" i="7"/>
  <c r="O56" i="7"/>
  <c r="L56" i="7"/>
  <c r="R56" i="7"/>
  <c r="T56" i="7"/>
  <c r="J56" i="7"/>
  <c r="G56" i="7"/>
  <c r="V56" i="7"/>
  <c r="W56" i="7"/>
  <c r="P56" i="7"/>
  <c r="K56" i="7"/>
  <c r="H56" i="7"/>
  <c r="F56" i="7"/>
  <c r="F57" i="7" s="1"/>
  <c r="V38" i="7"/>
  <c r="V42" i="7" s="1"/>
  <c r="V52" i="7"/>
  <c r="V53" i="7" s="1"/>
  <c r="X38" i="7"/>
  <c r="X42" i="7" s="1"/>
  <c r="X52" i="7"/>
  <c r="X53" i="7" s="1"/>
  <c r="F62" i="7" l="1"/>
  <c r="G57" i="7"/>
  <c r="C15" i="6"/>
  <c r="G23" i="9"/>
  <c r="G30" i="7" l="1"/>
  <c r="G32" i="9"/>
  <c r="G54" i="9" s="1"/>
  <c r="G33" i="7"/>
  <c r="D15" i="6"/>
  <c r="H21" i="7" s="1"/>
  <c r="G62" i="7"/>
  <c r="H57" i="7"/>
  <c r="G35" i="9" l="1"/>
  <c r="G37" i="9" s="1"/>
  <c r="G34" i="9" s="1"/>
  <c r="C16" i="6"/>
  <c r="D16" i="6" s="1"/>
  <c r="I21" i="7" s="1"/>
  <c r="G35" i="7"/>
  <c r="G36" i="7" s="1"/>
  <c r="G55" i="9"/>
  <c r="G61" i="9"/>
  <c r="H23" i="9"/>
  <c r="H62" i="7"/>
  <c r="I57" i="7"/>
  <c r="G38" i="9" l="1"/>
  <c r="H32" i="9"/>
  <c r="H35" i="9" s="1"/>
  <c r="H30" i="7"/>
  <c r="H33" i="7" s="1"/>
  <c r="I62" i="7"/>
  <c r="J57" i="7"/>
  <c r="C17" i="6"/>
  <c r="I23" i="9"/>
  <c r="G13" i="12"/>
  <c r="G14" i="12" s="1"/>
  <c r="G32" i="7"/>
  <c r="G40" i="9"/>
  <c r="H54" i="9" l="1"/>
  <c r="H35" i="7"/>
  <c r="H36" i="7" s="1"/>
  <c r="H55" i="9"/>
  <c r="H61" i="9"/>
  <c r="I32" i="9"/>
  <c r="D17" i="6"/>
  <c r="J21" i="7" s="1"/>
  <c r="J62" i="7"/>
  <c r="K57" i="7"/>
  <c r="I30" i="7"/>
  <c r="G44" i="9"/>
  <c r="G52" i="7"/>
  <c r="G53" i="7" s="1"/>
  <c r="G38" i="7"/>
  <c r="H37" i="9"/>
  <c r="H34" i="9" s="1"/>
  <c r="C18" i="6" l="1"/>
  <c r="D18" i="6" s="1"/>
  <c r="K21" i="7" s="1"/>
  <c r="H40" i="9"/>
  <c r="H38" i="9"/>
  <c r="K62" i="7"/>
  <c r="L57" i="7"/>
  <c r="H13" i="12"/>
  <c r="H14" i="12" s="1"/>
  <c r="H32" i="7"/>
  <c r="G42" i="7"/>
  <c r="I35" i="9"/>
  <c r="I54" i="9"/>
  <c r="I33" i="7"/>
  <c r="J23" i="9"/>
  <c r="I35" i="7" l="1"/>
  <c r="I37" i="9"/>
  <c r="I34" i="9" s="1"/>
  <c r="C19" i="6"/>
  <c r="K23" i="9"/>
  <c r="H52" i="7"/>
  <c r="H53" i="7" s="1"/>
  <c r="H38" i="7"/>
  <c r="L62" i="7"/>
  <c r="M57" i="7"/>
  <c r="J30" i="7"/>
  <c r="J32" i="9"/>
  <c r="I55" i="9"/>
  <c r="I61" i="9"/>
  <c r="H44" i="9"/>
  <c r="I38" i="9" l="1"/>
  <c r="J35" i="9"/>
  <c r="J54" i="9"/>
  <c r="K32" i="9"/>
  <c r="J33" i="7"/>
  <c r="I40" i="9"/>
  <c r="H42" i="7"/>
  <c r="I13" i="12"/>
  <c r="I14" i="12" s="1"/>
  <c r="I32" i="7"/>
  <c r="N57" i="7"/>
  <c r="M62" i="7"/>
  <c r="K30" i="7"/>
  <c r="D19" i="6"/>
  <c r="L21" i="7" s="1"/>
  <c r="I36" i="7"/>
  <c r="C20" i="6" l="1"/>
  <c r="N62" i="7"/>
  <c r="O57" i="7"/>
  <c r="I44" i="9"/>
  <c r="J61" i="9"/>
  <c r="J55" i="9"/>
  <c r="L23" i="9"/>
  <c r="K33" i="7"/>
  <c r="I52" i="7"/>
  <c r="I53" i="7" s="1"/>
  <c r="I38" i="7"/>
  <c r="J35" i="7"/>
  <c r="J37" i="9"/>
  <c r="J34" i="9" s="1"/>
  <c r="J40" i="9" s="1"/>
  <c r="J44" i="9" s="1"/>
  <c r="K35" i="9"/>
  <c r="K54" i="9"/>
  <c r="L30" i="7" l="1"/>
  <c r="L32" i="9"/>
  <c r="L35" i="9" s="1"/>
  <c r="J38" i="9"/>
  <c r="O62" i="7"/>
  <c r="P57" i="7"/>
  <c r="L33" i="7"/>
  <c r="J13" i="12"/>
  <c r="J14" i="12" s="1"/>
  <c r="J32" i="7"/>
  <c r="K55" i="9"/>
  <c r="K61" i="9"/>
  <c r="K37" i="9"/>
  <c r="K34" i="9" s="1"/>
  <c r="K40" i="9" s="1"/>
  <c r="K44" i="9" s="1"/>
  <c r="J36" i="7"/>
  <c r="I42" i="7"/>
  <c r="K35" i="7"/>
  <c r="D20" i="6"/>
  <c r="M21" i="7" s="1"/>
  <c r="C21" i="6" l="1"/>
  <c r="D21" i="6" s="1"/>
  <c r="N21" i="7" s="1"/>
  <c r="L54" i="9"/>
  <c r="L61" i="9" s="1"/>
  <c r="L37" i="9"/>
  <c r="L34" i="9" s="1"/>
  <c r="L40" i="9" s="1"/>
  <c r="L44" i="9" s="1"/>
  <c r="K13" i="12"/>
  <c r="K14" i="12" s="1"/>
  <c r="K32" i="7"/>
  <c r="K38" i="9"/>
  <c r="K36" i="7"/>
  <c r="P62" i="7"/>
  <c r="Q57" i="7"/>
  <c r="M23" i="9"/>
  <c r="J52" i="7"/>
  <c r="J53" i="7" s="1"/>
  <c r="J38" i="7"/>
  <c r="J42" i="7" s="1"/>
  <c r="L35" i="7"/>
  <c r="L55" i="9" l="1"/>
  <c r="M30" i="7"/>
  <c r="M33" i="7" s="1"/>
  <c r="Q62" i="7"/>
  <c r="R57" i="7"/>
  <c r="K52" i="7"/>
  <c r="K53" i="7" s="1"/>
  <c r="K38" i="7"/>
  <c r="K42" i="7" s="1"/>
  <c r="L13" i="12"/>
  <c r="L14" i="12" s="1"/>
  <c r="L32" i="7"/>
  <c r="N23" i="9"/>
  <c r="L36" i="7"/>
  <c r="M32" i="9"/>
  <c r="C22" i="6"/>
  <c r="D22" i="6" s="1"/>
  <c r="O21" i="7" s="1"/>
  <c r="L38" i="9"/>
  <c r="R62" i="7" l="1"/>
  <c r="S57" i="7"/>
  <c r="M35" i="7"/>
  <c r="M36" i="7"/>
  <c r="N30" i="7"/>
  <c r="O23" i="9"/>
  <c r="N32" i="9"/>
  <c r="M54" i="9"/>
  <c r="M35" i="9"/>
  <c r="L52" i="7"/>
  <c r="L53" i="7" s="1"/>
  <c r="L38" i="7"/>
  <c r="L42" i="7" s="1"/>
  <c r="N54" i="9" l="1"/>
  <c r="N35" i="9"/>
  <c r="N33" i="7"/>
  <c r="S62" i="7"/>
  <c r="T57" i="7"/>
  <c r="O30" i="7"/>
  <c r="M37" i="9"/>
  <c r="M34" i="9" s="1"/>
  <c r="M40" i="9" s="1"/>
  <c r="M55" i="9"/>
  <c r="M61" i="9"/>
  <c r="O32" i="9"/>
  <c r="M32" i="7"/>
  <c r="M13" i="12"/>
  <c r="M14" i="12" s="1"/>
  <c r="M38" i="9" l="1"/>
  <c r="O35" i="9"/>
  <c r="O54" i="9"/>
  <c r="N37" i="9"/>
  <c r="N34" i="9" s="1"/>
  <c r="N40" i="9" s="1"/>
  <c r="N44" i="9" s="1"/>
  <c r="M44" i="9"/>
  <c r="N35" i="7"/>
  <c r="N36" i="7" s="1"/>
  <c r="O33" i="7"/>
  <c r="M52" i="7"/>
  <c r="M53" i="7" s="1"/>
  <c r="M38" i="7"/>
  <c r="M42" i="7" s="1"/>
  <c r="T62" i="7"/>
  <c r="U57" i="7"/>
  <c r="N55" i="9"/>
  <c r="N61" i="9"/>
  <c r="N38" i="9" l="1"/>
  <c r="O55" i="9"/>
  <c r="O61" i="9"/>
  <c r="U62" i="7"/>
  <c r="V57" i="7"/>
  <c r="O37" i="9"/>
  <c r="O34" i="9" s="1"/>
  <c r="O35" i="7"/>
  <c r="N13" i="12"/>
  <c r="N14" i="12" s="1"/>
  <c r="N32" i="7"/>
  <c r="O40" i="9" l="1"/>
  <c r="O32" i="7"/>
  <c r="O13" i="12"/>
  <c r="O14" i="12" s="1"/>
  <c r="O36" i="7"/>
  <c r="O38" i="9"/>
  <c r="W57" i="7"/>
  <c r="V62" i="7"/>
  <c r="N38" i="7"/>
  <c r="N42" i="7" s="1"/>
  <c r="N52" i="7"/>
  <c r="N53" i="7" s="1"/>
  <c r="X57" i="7" l="1"/>
  <c r="W62" i="7"/>
  <c r="O38" i="7"/>
  <c r="O52" i="7"/>
  <c r="O53" i="7" s="1"/>
  <c r="O44" i="9"/>
  <c r="X62" i="7" l="1"/>
  <c r="Y57" i="7"/>
  <c r="O42" i="7"/>
  <c r="Y62" i="7" l="1"/>
  <c r="F32" i="9" l="1"/>
  <c r="F35" i="9" s="1"/>
  <c r="F37" i="9" s="1"/>
  <c r="F38" i="9" s="1"/>
  <c r="F30" i="7"/>
  <c r="F34" i="9" l="1"/>
  <c r="F40" i="9" s="1"/>
  <c r="F41" i="9" s="1"/>
  <c r="E48" i="9"/>
  <c r="E49" i="9" a="1"/>
  <c r="F33" i="7"/>
  <c r="F54" i="9"/>
  <c r="E49" i="9" l="1"/>
  <c r="E47" i="9"/>
  <c r="E17" i="16" s="1"/>
  <c r="F44" i="9"/>
  <c r="F45" i="9" s="1"/>
  <c r="G45" i="9" s="1"/>
  <c r="H45" i="9" s="1"/>
  <c r="I45" i="9" s="1"/>
  <c r="J45" i="9" s="1"/>
  <c r="K45" i="9" s="1"/>
  <c r="L45" i="9" s="1"/>
  <c r="M45" i="9" s="1"/>
  <c r="N45" i="9" s="1"/>
  <c r="O45" i="9" s="1"/>
  <c r="P45" i="9" s="1"/>
  <c r="Q45" i="9" s="1"/>
  <c r="R45" i="9" s="1"/>
  <c r="S45" i="9" s="1"/>
  <c r="T45" i="9" s="1"/>
  <c r="U45" i="9" s="1"/>
  <c r="V45" i="9" s="1"/>
  <c r="W45" i="9" s="1"/>
  <c r="X45" i="9" s="1"/>
  <c r="Y45" i="9" s="1"/>
  <c r="E34" i="13"/>
  <c r="E18" i="16"/>
  <c r="F35" i="7"/>
  <c r="F36" i="7"/>
  <c r="F55" i="9"/>
  <c r="F56" i="9" s="1"/>
  <c r="F61" i="9"/>
  <c r="G41" i="9"/>
  <c r="H41" i="9" s="1"/>
  <c r="I41" i="9" s="1"/>
  <c r="J41" i="9" s="1"/>
  <c r="K41" i="9" s="1"/>
  <c r="L41" i="9" s="1"/>
  <c r="M41" i="9" s="1"/>
  <c r="N41" i="9" s="1"/>
  <c r="O41" i="9" s="1"/>
  <c r="P41" i="9" s="1"/>
  <c r="Q41" i="9" s="1"/>
  <c r="R41" i="9" s="1"/>
  <c r="S41" i="9" s="1"/>
  <c r="T41" i="9" s="1"/>
  <c r="U41" i="9" s="1"/>
  <c r="V41" i="9" s="1"/>
  <c r="W41" i="9" s="1"/>
  <c r="X41" i="9" s="1"/>
  <c r="Y41" i="9" s="1"/>
  <c r="D34" i="13" l="1"/>
  <c r="E51" i="9" a="1"/>
  <c r="E51" i="9" s="1"/>
  <c r="E50" i="9" a="1"/>
  <c r="E50" i="9" s="1"/>
  <c r="G56" i="9"/>
  <c r="F63" i="9"/>
  <c r="F60" i="9"/>
  <c r="F13" i="12"/>
  <c r="F14" i="12" s="1"/>
  <c r="F32" i="7"/>
  <c r="E20" i="12" l="1"/>
  <c r="E19" i="12"/>
  <c r="E14" i="16" s="1"/>
  <c r="F38" i="7"/>
  <c r="E47" i="7" a="1"/>
  <c r="E47" i="7" s="1"/>
  <c r="F52" i="7"/>
  <c r="H56" i="9"/>
  <c r="G63" i="9"/>
  <c r="G60" i="9"/>
  <c r="E45" i="7" l="1"/>
  <c r="F42" i="7"/>
  <c r="F43" i="7" s="1"/>
  <c r="F39" i="7"/>
  <c r="E46" i="7"/>
  <c r="H60" i="9"/>
  <c r="H63" i="9"/>
  <c r="I56" i="9"/>
  <c r="F53" i="7"/>
  <c r="F54" i="7" s="1"/>
  <c r="F59" i="7"/>
  <c r="C34" i="13" l="1"/>
  <c r="E16" i="16"/>
  <c r="J56" i="9"/>
  <c r="I60" i="9"/>
  <c r="I63" i="9"/>
  <c r="G39" i="7"/>
  <c r="H39" i="7" s="1"/>
  <c r="I39" i="7" s="1"/>
  <c r="J39" i="7" s="1"/>
  <c r="K39" i="7" s="1"/>
  <c r="L39" i="7" s="1"/>
  <c r="M39" i="7" s="1"/>
  <c r="N39" i="7" s="1"/>
  <c r="O39" i="7" s="1"/>
  <c r="P39" i="7" s="1"/>
  <c r="Q39" i="7" s="1"/>
  <c r="R39" i="7" s="1"/>
  <c r="S39" i="7" s="1"/>
  <c r="T39" i="7" s="1"/>
  <c r="U39" i="7" s="1"/>
  <c r="V39" i="7" s="1"/>
  <c r="W39" i="7" s="1"/>
  <c r="X39" i="7" s="1"/>
  <c r="Y39" i="7" s="1"/>
  <c r="G43" i="7"/>
  <c r="H43" i="7" s="1"/>
  <c r="I43" i="7" s="1"/>
  <c r="J43" i="7" s="1"/>
  <c r="K43" i="7" s="1"/>
  <c r="L43" i="7" s="1"/>
  <c r="M43" i="7" s="1"/>
  <c r="N43" i="7" s="1"/>
  <c r="O43" i="7" s="1"/>
  <c r="P43" i="7" s="1"/>
  <c r="Q43" i="7" s="1"/>
  <c r="R43" i="7" s="1"/>
  <c r="S43" i="7" s="1"/>
  <c r="T43" i="7" s="1"/>
  <c r="U43" i="7" s="1"/>
  <c r="V43" i="7" s="1"/>
  <c r="W43" i="7" s="1"/>
  <c r="X43" i="7" s="1"/>
  <c r="Y43" i="7" s="1"/>
  <c r="F58" i="7"/>
  <c r="G54" i="7"/>
  <c r="F61" i="7"/>
  <c r="E15" i="16"/>
  <c r="B34" i="13"/>
  <c r="G58" i="7" l="1"/>
  <c r="G61" i="7"/>
  <c r="H54" i="7"/>
  <c r="J63" i="9"/>
  <c r="K56" i="9"/>
  <c r="J60" i="9"/>
  <c r="E48" i="7" a="1"/>
  <c r="E48" i="7" s="1"/>
  <c r="E49" i="7" a="1"/>
  <c r="E49" i="7" s="1"/>
  <c r="H61" i="7" l="1"/>
  <c r="I54" i="7"/>
  <c r="H58" i="7"/>
  <c r="K63" i="9"/>
  <c r="K60" i="9"/>
  <c r="L56" i="9"/>
  <c r="M56" i="9" l="1"/>
  <c r="L63" i="9"/>
  <c r="L60" i="9"/>
  <c r="J54" i="7"/>
  <c r="I61" i="7"/>
  <c r="I58" i="7"/>
  <c r="J58" i="7" l="1"/>
  <c r="K54" i="7"/>
  <c r="J61" i="7"/>
  <c r="M63" i="9"/>
  <c r="N56" i="9"/>
  <c r="M60" i="9"/>
  <c r="K58" i="7" l="1"/>
  <c r="K61" i="7"/>
  <c r="L54" i="7"/>
  <c r="N63" i="9"/>
  <c r="N60" i="9"/>
  <c r="O56" i="9"/>
  <c r="M54" i="7" l="1"/>
  <c r="L61" i="7"/>
  <c r="L58" i="7"/>
  <c r="P56" i="9"/>
  <c r="O60" i="9"/>
  <c r="O63" i="9"/>
  <c r="Q56" i="9" l="1"/>
  <c r="P60" i="9"/>
  <c r="P63" i="9"/>
  <c r="M58" i="7"/>
  <c r="M61" i="7"/>
  <c r="N54" i="7"/>
  <c r="N61" i="7" l="1"/>
  <c r="O54" i="7"/>
  <c r="N58" i="7"/>
  <c r="Q63" i="9"/>
  <c r="Q60" i="9"/>
  <c r="R56" i="9"/>
  <c r="R60" i="9" l="1"/>
  <c r="S56" i="9"/>
  <c r="R63" i="9"/>
  <c r="O61" i="7"/>
  <c r="O58" i="7"/>
  <c r="P54" i="7"/>
  <c r="P58" i="7" l="1"/>
  <c r="Q54" i="7"/>
  <c r="P61" i="7"/>
  <c r="T56" i="9"/>
  <c r="S63" i="9"/>
  <c r="S60" i="9"/>
  <c r="T63" i="9" l="1"/>
  <c r="T60" i="9"/>
  <c r="U56" i="9"/>
  <c r="R54" i="7"/>
  <c r="Q58" i="7"/>
  <c r="Q61" i="7"/>
  <c r="U60" i="9" l="1"/>
  <c r="U63" i="9"/>
  <c r="V56" i="9"/>
  <c r="S54" i="7"/>
  <c r="R58" i="7"/>
  <c r="R61" i="7"/>
  <c r="S58" i="7" l="1"/>
  <c r="T54" i="7"/>
  <c r="S61" i="7"/>
  <c r="W56" i="9"/>
  <c r="V63" i="9"/>
  <c r="V60" i="9"/>
  <c r="W63" i="9" l="1"/>
  <c r="W60" i="9"/>
  <c r="X56" i="9"/>
  <c r="T61" i="7"/>
  <c r="U54" i="7"/>
  <c r="T58" i="7"/>
  <c r="Y56" i="9" l="1"/>
  <c r="Y63" i="9" s="1"/>
  <c r="X63" i="9"/>
  <c r="X60" i="9"/>
  <c r="U58" i="7"/>
  <c r="V54" i="7"/>
  <c r="U61" i="7"/>
  <c r="W54" i="7" l="1"/>
  <c r="V58" i="7"/>
  <c r="V61" i="7"/>
  <c r="W58" i="7" l="1"/>
  <c r="W61" i="7"/>
  <c r="X54" i="7"/>
  <c r="X61" i="7" l="1"/>
  <c r="X58" i="7"/>
  <c r="Y54" i="7"/>
  <c r="Y61" i="7" l="1"/>
  <c r="Y58" i="7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<sst xmlns="http://schemas.openxmlformats.org/spreadsheetml/2006/main" count="340" uniqueCount="208">
  <si>
    <t>SET SOFTVERSKOG ALATA ZA ANALIZU EFIKASNOSTI MERA KOJE IMPLEMENTIRAJU KOMPANIJE ZA DALJINSKO GREJANJE</t>
  </si>
  <si>
    <t>EUR</t>
  </si>
  <si>
    <t>Izabrati meru koja se analizira</t>
  </si>
  <si>
    <t>Podsticaji</t>
  </si>
  <si>
    <t>Grant finansijske institucije</t>
  </si>
  <si>
    <t>Grant lokalne samouprave</t>
  </si>
  <si>
    <t>Grant Uprave za EE i OIE</t>
  </si>
  <si>
    <t>Grant zelenih fondova</t>
  </si>
  <si>
    <t>Učešće krajnjih korisnika</t>
  </si>
  <si>
    <t>Fiksno</t>
  </si>
  <si>
    <t>Investicija</t>
  </si>
  <si>
    <t>Time frame</t>
  </si>
  <si>
    <t>Ostalo</t>
  </si>
  <si>
    <t>Konver.F.</t>
  </si>
  <si>
    <t>Prirodni gas</t>
  </si>
  <si>
    <t>Tečni naftni gas</t>
  </si>
  <si>
    <t>Lož-ulje</t>
  </si>
  <si>
    <t>Mazut</t>
  </si>
  <si>
    <t>Električna energija</t>
  </si>
  <si>
    <t>Drvo</t>
  </si>
  <si>
    <t>Mrki ugalj</t>
  </si>
  <si>
    <t>Lignit</t>
  </si>
  <si>
    <t>Solarna energija</t>
  </si>
  <si>
    <t>Drvo sertifikovano</t>
  </si>
  <si>
    <t>EUR ili -</t>
  </si>
  <si>
    <t>MWh/a</t>
  </si>
  <si>
    <t>Period</t>
  </si>
  <si>
    <t>FINANCIAL INDICATORS</t>
  </si>
  <si>
    <t>Investment (EUR)</t>
  </si>
  <si>
    <t>Equity (EUR)</t>
  </si>
  <si>
    <t>NPV (EUR)</t>
  </si>
  <si>
    <t>IRR (%)</t>
  </si>
  <si>
    <t>GRAPH / CASH FLOW / FINANCIAL</t>
  </si>
  <si>
    <t>GRAPH / CASH FLOW / ECONOMICAL</t>
  </si>
  <si>
    <t>Graph - Cost discounted cumm.</t>
  </si>
  <si>
    <t>Graph - Income discounted cumm.</t>
  </si>
  <si>
    <t>Operational &amp; Maintenance Costsa (EUR)</t>
  </si>
  <si>
    <t>Total Costs (EUR)</t>
  </si>
  <si>
    <r>
      <t>Reduction of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emmisions (t/a)</t>
    </r>
  </si>
  <si>
    <r>
      <t>LCoCO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(EUR/t</t>
    </r>
    <r>
      <rPr>
        <vertAlign val="subscript"/>
        <sz val="11"/>
        <color theme="0"/>
        <rFont val="Calibri"/>
        <family val="2"/>
        <scheme val="minor"/>
      </rPr>
      <t>CO2 eq</t>
    </r>
    <r>
      <rPr>
        <sz val="11"/>
        <color theme="0"/>
        <rFont val="Calibri"/>
        <family val="2"/>
        <scheme val="minor"/>
      </rPr>
      <t>):</t>
    </r>
  </si>
  <si>
    <t>SENSITIVE ANALYSIS</t>
  </si>
  <si>
    <t>Loan (EUR)</t>
  </si>
  <si>
    <t>RSD/MWh</t>
  </si>
  <si>
    <t>LCoE Calculation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</si>
  <si>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reduction (t/a)</t>
    </r>
  </si>
  <si>
    <t>Sopstveni kapital</t>
  </si>
  <si>
    <t>kW</t>
  </si>
  <si>
    <t>Electricity production (MWh/a)</t>
  </si>
  <si>
    <t>LCoE (EUR/MWh):</t>
  </si>
  <si>
    <t>Projekat</t>
  </si>
  <si>
    <t>Termoizolacija omotača zgrade</t>
  </si>
  <si>
    <t>Ugradnja TS ventila i delitelja troškova</t>
  </si>
  <si>
    <t>Zamena stolarije</t>
  </si>
  <si>
    <t>Modernizacija toplotnih podstanica</t>
  </si>
  <si>
    <t>Ugradnja cirkulacione pumpe sa promenljivim brojem obrtaja</t>
  </si>
  <si>
    <t>Kompenzacija reaktivne snage - elektro</t>
  </si>
  <si>
    <t>Termoizolacija cevovoda i opreme</t>
  </si>
  <si>
    <t>Instalacija SCADA</t>
  </si>
  <si>
    <t>Ugradnja rekuperatora toplote u dimovodni trakt</t>
  </si>
  <si>
    <t>Rekonstrukcija distributivne mreže</t>
  </si>
  <si>
    <t>Ugradnja toplotne pumpe i povezivanje na sekundar TPS</t>
  </si>
  <si>
    <t>Ugradnja termal - solar sistema u zgradi</t>
  </si>
  <si>
    <t>Termal solar velikog kapaciteta</t>
  </si>
  <si>
    <t>Toplotna pumpa velikog kapaciteta</t>
  </si>
  <si>
    <t>Foto-naponska instalacija</t>
  </si>
  <si>
    <t>Kotao na drvnu sečku</t>
  </si>
  <si>
    <t>Izračunavanje cene toplote</t>
  </si>
  <si>
    <t>Priključenje novog objekta</t>
  </si>
  <si>
    <t>Priprema projekta (projekti, dozvole, ostalo)</t>
  </si>
  <si>
    <t>Nadzor i upravljanje projektom</t>
  </si>
  <si>
    <t>Nabavka PV panela</t>
  </si>
  <si>
    <t>Nabavka kontrolera i druge prateće opreme</t>
  </si>
  <si>
    <t>Izrada konstrukcije za postavljanje panela</t>
  </si>
  <si>
    <t>Montaža panela i pripadajuće opreme</t>
  </si>
  <si>
    <t>Nepredviđeni radovi</t>
  </si>
  <si>
    <t>Primopredaja instalacije</t>
  </si>
  <si>
    <t>ESCO/DH operativni troškovi</t>
  </si>
  <si>
    <t>Udeo u uštedama ako gradi ESCO</t>
  </si>
  <si>
    <t>Troškovi održavanja</t>
  </si>
  <si>
    <t>Amortizacija i depresijcija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</si>
  <si>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Taksa</t>
    </r>
  </si>
  <si>
    <r>
      <t>Konverzioni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faktor - t/MWh primarne energije</t>
    </r>
  </si>
  <si>
    <t>Period otplate ili period garantovane usluge</t>
  </si>
  <si>
    <t>Vremenski okvir projekta</t>
  </si>
  <si>
    <t>Diskontna stopa</t>
  </si>
  <si>
    <t>Kamatna stopa</t>
  </si>
  <si>
    <t>Gorivo ili energija</t>
  </si>
  <si>
    <t>UNOS PODATAKA ZA PRORAČUN</t>
  </si>
  <si>
    <t>Ugradnja "pametnog" brojila</t>
  </si>
  <si>
    <t>CO2 Taksa</t>
  </si>
  <si>
    <t>Konverzioni CO2 faktor - t/MWh primarne energije</t>
  </si>
  <si>
    <t>ENERGIJA I TROŠKOVI ENERGIJE</t>
  </si>
  <si>
    <t>Eektrična snaga PV elektrane</t>
  </si>
  <si>
    <t>Proizvodnja električne energije</t>
  </si>
  <si>
    <t>Cena električne energije</t>
  </si>
  <si>
    <t>Pristup distributivnom sistemu</t>
  </si>
  <si>
    <t>Prosečna sopstvena potrošnja koja ne ide u mrežu</t>
  </si>
  <si>
    <t>-</t>
  </si>
  <si>
    <t>Ukupno:</t>
  </si>
  <si>
    <t>Ukupno uključujući PDV:</t>
  </si>
  <si>
    <t>UKUPNO:</t>
  </si>
  <si>
    <t>KREDIT:</t>
  </si>
  <si>
    <t>Napomena: Odnosi se na PV elektrane kapaciteta do 50 kW i slučaj kada vlasnik ima status kupca-proizvođača</t>
  </si>
  <si>
    <t>IZRAČUNAVANJE ANUITETA</t>
  </si>
  <si>
    <t>Iznos kredita:</t>
  </si>
  <si>
    <t>Preostali iznos glavnice (EUR)</t>
  </si>
  <si>
    <t>Kamata = Troškovi kredita (EUR)</t>
  </si>
  <si>
    <t>Anuiteti (EUR)</t>
  </si>
  <si>
    <t>Akciza</t>
  </si>
  <si>
    <t>Pristup distributivnom sistemu (EUR/a)</t>
  </si>
  <si>
    <t>Angažovana snaga (EUR/a)</t>
  </si>
  <si>
    <t>Akciza (EUR/a)</t>
  </si>
  <si>
    <t>Odobrena snaga</t>
  </si>
  <si>
    <t>RSD/kW</t>
  </si>
  <si>
    <t>NAZAD</t>
  </si>
  <si>
    <t>DALJE</t>
  </si>
  <si>
    <t>Miks goriva</t>
  </si>
  <si>
    <t>ESCO INVESTICIJA</t>
  </si>
  <si>
    <t>Vremenski okvir</t>
  </si>
  <si>
    <t>Udeo u uštedama ako gradi ESCO (EUR)</t>
  </si>
  <si>
    <t>Diskontovana vrednost udela (EUR)</t>
  </si>
  <si>
    <t>N/A</t>
  </si>
  <si>
    <t>GRAFIK / CASH FLOW / FINANSIJSKI</t>
  </si>
  <si>
    <t>REZIME PROJEKTA</t>
  </si>
  <si>
    <t>Investiciona vrednost (EUR)</t>
  </si>
  <si>
    <t>Subvencije (EUR)</t>
  </si>
  <si>
    <t>Sopstveni kapital (EUR)</t>
  </si>
  <si>
    <t>Kredit (EUR)</t>
  </si>
  <si>
    <t>LCoE(EE) (EUR/MWh)</t>
  </si>
  <si>
    <t>FNPV (EUR)</t>
  </si>
  <si>
    <t>FIRR (%)</t>
  </si>
  <si>
    <t>Prinos na sopstveni kapital</t>
  </si>
  <si>
    <t>Finansijska diskontna stopa</t>
  </si>
  <si>
    <t>Grantovi</t>
  </si>
  <si>
    <t>Kredit</t>
  </si>
  <si>
    <t>Ukupno</t>
  </si>
  <si>
    <t>Projekat “Bolja energija"</t>
  </si>
  <si>
    <t>ANALIZA SA UKLJUČENIM CO₂</t>
  </si>
  <si>
    <t>Grantovi (EUR)</t>
  </si>
  <si>
    <t>PRIHODI</t>
  </si>
  <si>
    <t>Ukupni prihod (EUR)</t>
  </si>
  <si>
    <t>TROŠKOVI</t>
  </si>
  <si>
    <t>Kamate (EUR/a)</t>
  </si>
  <si>
    <t>Otplata glavnice (EUR/a)</t>
  </si>
  <si>
    <t>Operativni troškovi (EUR/a)</t>
  </si>
  <si>
    <t>Troškovi održavanja (EUR/a)</t>
  </si>
  <si>
    <t>Amortizacija (EUR)</t>
  </si>
  <si>
    <t>Ukupno godišnji troškovi (EUR/a)</t>
  </si>
  <si>
    <t>Ukupno troškovi cash flow</t>
  </si>
  <si>
    <t>BRUTO DOBIT (EUR/a)</t>
  </si>
  <si>
    <t>Porez na dobit</t>
  </si>
  <si>
    <t>Dobit nakon oporezivanja (EUR/a)</t>
  </si>
  <si>
    <t>Prodaja elektrićne energije (EUR/a)</t>
  </si>
  <si>
    <t>Nominalni troškovi</t>
  </si>
  <si>
    <t>Diskontovani troškovi</t>
  </si>
  <si>
    <t>Diskontovani troškovi, kumul.</t>
  </si>
  <si>
    <t>Nominalni prihodi</t>
  </si>
  <si>
    <t>Diskontovani prihodi</t>
  </si>
  <si>
    <t>Diskontovani prihodi, kumul.</t>
  </si>
  <si>
    <t>Bruto dobit, diskontovano, kumulativno</t>
  </si>
  <si>
    <t>Cena koštanja (EUR/MWh)</t>
  </si>
  <si>
    <t>Neto gotovinski tok</t>
  </si>
  <si>
    <t>Kumulativni gotovinski tok</t>
  </si>
  <si>
    <t>Diskontovani gotovinski tok</t>
  </si>
  <si>
    <t>Kumulativni diskontovani gotovinski tok</t>
  </si>
  <si>
    <t>Neto sadašnja vrednost</t>
  </si>
  <si>
    <t>Interna stopa povraćaja</t>
  </si>
  <si>
    <t>Odnos rezultata i troškova</t>
  </si>
  <si>
    <t>Period povraćaja</t>
  </si>
  <si>
    <t>Diskontovani period povraćaja</t>
  </si>
  <si>
    <t>godina</t>
  </si>
  <si>
    <t>Graf - Troškovi diskontovani, kumul.</t>
  </si>
  <si>
    <t>Graf - Prihodi diskontovani, kumul.</t>
  </si>
  <si>
    <r>
      <t>Prihod od karbon taksi (CO</t>
    </r>
    <r>
      <rPr>
        <vertAlign val="subscript"/>
        <sz val="11"/>
        <color theme="1"/>
        <rFont val="Calibri"/>
        <family val="2"/>
        <scheme val="minor"/>
      </rPr>
      <t>2)</t>
    </r>
  </si>
  <si>
    <t>Udeo kupaca u uštedama (EUR/a)</t>
  </si>
  <si>
    <t>Ukupni godišnji troškovi (EUR/a)</t>
  </si>
  <si>
    <r>
      <t>Bez CO</t>
    </r>
    <r>
      <rPr>
        <b/>
        <sz val="8"/>
        <color theme="1"/>
        <rFont val="Calibri"/>
        <family val="2"/>
        <scheme val="minor"/>
      </rPr>
      <t>2</t>
    </r>
  </si>
  <si>
    <r>
      <t>Sa CO</t>
    </r>
    <r>
      <rPr>
        <b/>
        <sz val="8"/>
        <color theme="1"/>
        <rFont val="Calibri"/>
        <family val="2"/>
        <scheme val="minor"/>
      </rPr>
      <t>2</t>
    </r>
  </si>
  <si>
    <t>NPV</t>
  </si>
  <si>
    <t>IRR</t>
  </si>
  <si>
    <t>Bazni slučaj</t>
  </si>
  <si>
    <t>NPV = 0</t>
  </si>
  <si>
    <t>Investicije</t>
  </si>
  <si>
    <r>
      <t>Cena CO</t>
    </r>
    <r>
      <rPr>
        <b/>
        <sz val="11"/>
        <color theme="1"/>
        <rFont val="Calibri"/>
        <family val="2"/>
      </rPr>
      <t>₂</t>
    </r>
  </si>
  <si>
    <r>
      <t>Cena električne energije + CO</t>
    </r>
    <r>
      <rPr>
        <b/>
        <sz val="11"/>
        <color theme="1"/>
        <rFont val="Calibri"/>
        <family val="2"/>
      </rPr>
      <t>₂</t>
    </r>
  </si>
  <si>
    <t>Investicije + CO₂</t>
  </si>
  <si>
    <t>KONVERZIONI FAKTOR ZA MIKS GORIVA</t>
  </si>
  <si>
    <t>GORIVO</t>
  </si>
  <si>
    <t>Primarna energija</t>
  </si>
  <si>
    <t>Emisioni faktor</t>
  </si>
  <si>
    <r>
      <t>Emisija CO</t>
    </r>
    <r>
      <rPr>
        <b/>
        <vertAlign val="subscript"/>
        <sz val="11"/>
        <color theme="0"/>
        <rFont val="Calibri"/>
        <family val="2"/>
        <scheme val="minor"/>
      </rPr>
      <t>2</t>
    </r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</si>
  <si>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/a</t>
    </r>
  </si>
  <si>
    <t>Gorivo</t>
  </si>
  <si>
    <t>Konverzioni faktor za miks goriva koje se koristi u daljinskom grejanju: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</si>
  <si>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/MWh</t>
    </r>
  </si>
  <si>
    <t>GORIVA</t>
  </si>
  <si>
    <r>
      <t>t</t>
    </r>
    <r>
      <rPr>
        <vertAlign val="subscript"/>
        <sz val="11"/>
        <color theme="1"/>
        <rFont val="Calibri"/>
        <family val="2"/>
        <scheme val="minor"/>
      </rPr>
      <t>CO2</t>
    </r>
    <r>
      <rPr>
        <sz val="11"/>
        <color theme="1"/>
        <rFont val="Calibri"/>
        <family val="2"/>
        <scheme val="minor"/>
      </rPr>
      <t>/MWh</t>
    </r>
  </si>
  <si>
    <t>Kameni ugalj</t>
  </si>
  <si>
    <t>Lož ulje</t>
  </si>
  <si>
    <t>TNG</t>
  </si>
  <si>
    <t>Drvo (nesertifikovano)</t>
  </si>
  <si>
    <t>Suncokret ljuska</t>
  </si>
  <si>
    <t>Toplota (kupljena)</t>
  </si>
  <si>
    <t>Električna energija OIE</t>
  </si>
  <si>
    <t>Toplota iz DH</t>
  </si>
  <si>
    <r>
      <t>NPV 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(EUR)</t>
    </r>
  </si>
  <si>
    <r>
      <t>IRR 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</rPr>
      <t xml:space="preserve"> </t>
    </r>
    <r>
      <rPr>
        <sz val="11"/>
        <color theme="0"/>
        <rFont val="Calibri"/>
        <family val="2"/>
        <scheme val="minor"/>
      </rPr>
      <t>(%)</t>
    </r>
  </si>
  <si>
    <t>Toplota iz toplana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</si>
</sst>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_ ;[Red]\-#,##0.00\ "/>
    <numFmt numFmtId="165" formatCode="0.000"/>
  </numFmts>
  <fonts count="2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b/>
      <u/>
      <sz val="16"/>
      <color theme="0"/>
      <name val="Calibri"/>
      <family val="2"/>
      <scheme val="minor"/>
    </font>
    <font>
      <sz val="9"/>
      <color rgb="FF002F6C"/>
      <name val="Gill Sans MT"/>
      <family val="2"/>
    </font>
    <font>
      <b/>
      <sz val="16"/>
      <color rgb="FFFFFFFF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b/>
      <vertAlign val="subscript"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gradientFill degree="90">
        <stop position="0">
          <color theme="0"/>
        </stop>
        <stop position="0.5">
          <color rgb="FFC0000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rgb="FF00B050"/>
        </stop>
        <stop position="1">
          <color theme="0"/>
        </stop>
      </gradientFill>
    </fill>
    <fill>
      <patternFill patternType="solid">
        <fgColor rgb="FF002060"/>
        <bgColor rgb="FF000000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77">
    <xf numFmtId="0" fontId="0" fillId="0" borderId="0" xfId="0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4" fontId="0" fillId="0" borderId="0" xfId="0" applyNumberFormat="1"/>
    <xf numFmtId="0" fontId="2" fillId="2" borderId="0" xfId="0" applyFont="1" applyFill="1"/>
    <xf numFmtId="0" fontId="2" fillId="3" borderId="0" xfId="0" applyFont="1" applyFill="1"/>
    <xf numFmtId="0" fontId="0" fillId="0" borderId="0" xfId="0" applyAlignment="1">
      <alignment horizontal="center"/>
    </xf>
    <xf numFmtId="10" fontId="0" fillId="0" borderId="0" xfId="0" applyNumberFormat="1"/>
    <xf numFmtId="2" fontId="0" fillId="0" borderId="0" xfId="0" applyNumberFormat="1"/>
    <xf numFmtId="4" fontId="0" fillId="0" borderId="0" xfId="0" applyNumberFormat="1" applyProtection="1">
      <protection locked="0"/>
    </xf>
    <xf numFmtId="0" fontId="0" fillId="0" borderId="0" xfId="0" applyProtection="1">
      <protection locked="0"/>
    </xf>
    <xf numFmtId="1" fontId="0" fillId="0" borderId="0" xfId="0" applyNumberFormat="1"/>
    <xf numFmtId="0" fontId="1" fillId="0" borderId="0" xfId="0" applyFont="1"/>
    <xf numFmtId="0" fontId="0" fillId="0" borderId="0" xfId="0" applyAlignment="1">
      <alignment vertical="distributed"/>
    </xf>
    <xf numFmtId="3" fontId="0" fillId="0" borderId="0" xfId="0" applyNumberFormat="1"/>
    <xf numFmtId="4" fontId="2" fillId="4" borderId="0" xfId="0" applyNumberFormat="1" applyFont="1" applyFill="1"/>
    <xf numFmtId="4" fontId="0" fillId="0" borderId="0" xfId="0" applyNumberFormat="1" applyAlignment="1">
      <alignment horizontal="right"/>
    </xf>
    <xf numFmtId="0" fontId="1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0" fontId="0" fillId="0" borderId="0" xfId="0" applyNumberFormat="1"/>
    <xf numFmtId="9" fontId="0" fillId="0" borderId="0" xfId="0" applyNumberFormat="1"/>
    <xf numFmtId="0" fontId="2" fillId="4" borderId="0" xfId="0" applyFont="1" applyFill="1"/>
    <xf numFmtId="0" fontId="0" fillId="0" borderId="0" xfId="0" applyAlignment="1">
      <alignment horizontal="left"/>
    </xf>
    <xf numFmtId="4" fontId="0" fillId="0" borderId="0" xfId="0" applyNumberFormat="1" applyAlignment="1">
      <alignment horizontal="center"/>
    </xf>
    <xf numFmtId="10" fontId="2" fillId="4" borderId="0" xfId="0" applyNumberFormat="1" applyFont="1" applyFill="1"/>
    <xf numFmtId="0" fontId="2" fillId="0" borderId="0" xfId="0" applyFont="1"/>
    <xf numFmtId="10" fontId="0" fillId="0" borderId="0" xfId="0" applyNumberFormat="1" applyProtection="1">
      <protection locked="0"/>
    </xf>
    <xf numFmtId="0" fontId="0" fillId="5" borderId="0" xfId="0" applyFill="1"/>
    <xf numFmtId="4" fontId="0" fillId="5" borderId="0" xfId="0" applyNumberFormat="1" applyFill="1"/>
    <xf numFmtId="0" fontId="0" fillId="9" borderId="0" xfId="0" applyFill="1" applyAlignment="1">
      <alignment horizontal="left"/>
    </xf>
    <xf numFmtId="0" fontId="14" fillId="0" borderId="0" xfId="0" applyFont="1" applyAlignment="1">
      <alignment horizontal="left"/>
    </xf>
    <xf numFmtId="0" fontId="14" fillId="9" borderId="0" xfId="0" applyFont="1" applyFill="1" applyAlignment="1">
      <alignment horizontal="left"/>
    </xf>
    <xf numFmtId="4" fontId="0" fillId="9" borderId="0" xfId="0" applyNumberFormat="1" applyFill="1"/>
    <xf numFmtId="0" fontId="0" fillId="9" borderId="0" xfId="0" applyFill="1"/>
    <xf numFmtId="10" fontId="0" fillId="9" borderId="0" xfId="0" applyNumberFormat="1" applyFill="1"/>
    <xf numFmtId="164" fontId="0" fillId="9" borderId="0" xfId="0" applyNumberFormat="1" applyFill="1"/>
    <xf numFmtId="0" fontId="13" fillId="0" borderId="1" xfId="0" applyFont="1" applyBorder="1" applyAlignment="1">
      <alignment horizontal="centerContinuous"/>
    </xf>
    <xf numFmtId="0" fontId="13" fillId="0" borderId="2" xfId="0" applyFont="1" applyBorder="1" applyAlignment="1">
      <alignment horizontal="centerContinuous"/>
    </xf>
    <xf numFmtId="0" fontId="13" fillId="0" borderId="3" xfId="0" applyFont="1" applyBorder="1" applyAlignment="1">
      <alignment horizontal="center"/>
    </xf>
    <xf numFmtId="0" fontId="13" fillId="0" borderId="0" xfId="0" applyFont="1"/>
    <xf numFmtId="164" fontId="0" fillId="0" borderId="0" xfId="0" applyNumberFormat="1"/>
    <xf numFmtId="10" fontId="0" fillId="0" borderId="0" xfId="2" applyNumberFormat="1" applyFont="1"/>
    <xf numFmtId="164" fontId="0" fillId="0" borderId="0" xfId="2" applyNumberFormat="1" applyFont="1"/>
    <xf numFmtId="0" fontId="0" fillId="0" borderId="0" xfId="0" applyAlignment="1">
      <alignment horizontal="center"/>
    </xf>
    <xf numFmtId="0" fontId="1" fillId="4" borderId="0" xfId="0" applyFont="1" applyFill="1" applyAlignment="1">
      <alignment horizontal="center"/>
    </xf>
    <xf numFmtId="0" fontId="2" fillId="4" borderId="0" xfId="0" applyFont="1" applyFill="1" applyProtection="1">
      <protection locked="0"/>
    </xf>
    <xf numFmtId="4" fontId="1" fillId="4" borderId="0" xfId="0" applyNumberFormat="1" applyFont="1" applyFill="1" applyProtection="1">
      <protection locked="0"/>
    </xf>
    <xf numFmtId="165" fontId="14" fillId="0" borderId="0" xfId="0" applyNumberFormat="1" applyFont="1"/>
    <xf numFmtId="4" fontId="1" fillId="4" borderId="0" xfId="0" applyNumberFormat="1" applyFont="1" applyFill="1"/>
    <xf numFmtId="2" fontId="1" fillId="4" borderId="0" xfId="0" applyNumberFormat="1" applyFont="1" applyFill="1"/>
    <xf numFmtId="0" fontId="19" fillId="0" borderId="0" xfId="0" applyFont="1"/>
    <xf numFmtId="0" fontId="10" fillId="0" borderId="0" xfId="0" applyFont="1" applyAlignment="1">
      <alignment horizontal="center"/>
    </xf>
    <xf numFmtId="0" fontId="5" fillId="4" borderId="0" xfId="0" applyFont="1" applyFill="1" applyAlignment="1">
      <alignment horizontal="center" vertical="distributed"/>
    </xf>
    <xf numFmtId="0" fontId="3" fillId="4" borderId="0" xfId="0" applyFont="1" applyFill="1" applyAlignment="1">
      <alignment horizontal="center" vertical="distributed"/>
    </xf>
    <xf numFmtId="0" fontId="2" fillId="4" borderId="0" xfId="0" applyFont="1" applyFill="1" applyAlignment="1">
      <alignment horizontal="center"/>
    </xf>
    <xf numFmtId="0" fontId="8" fillId="6" borderId="0" xfId="1" applyFont="1" applyFill="1" applyAlignment="1" applyProtection="1">
      <alignment horizontal="center" vertical="distributed"/>
      <protection locked="0"/>
    </xf>
    <xf numFmtId="0" fontId="8" fillId="7" borderId="0" xfId="1" applyFont="1" applyFill="1" applyAlignment="1" applyProtection="1">
      <alignment horizontal="center" vertical="distributed"/>
      <protection locked="0"/>
    </xf>
    <xf numFmtId="0" fontId="2" fillId="4" borderId="0" xfId="0" applyFont="1" applyFill="1" applyAlignment="1">
      <alignment horizontal="left" vertical="distributed"/>
    </xf>
    <xf numFmtId="0" fontId="3" fillId="4" borderId="0" xfId="0" applyFont="1" applyFill="1" applyAlignment="1">
      <alignment horizontal="center"/>
    </xf>
    <xf numFmtId="0" fontId="1" fillId="4" borderId="0" xfId="0" applyFont="1" applyFill="1" applyAlignment="1">
      <alignment horizontal="center" vertical="distributed"/>
    </xf>
    <xf numFmtId="0" fontId="2" fillId="4" borderId="0" xfId="0" applyFont="1" applyFill="1" applyAlignment="1">
      <alignment horizontal="left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2" fillId="2" borderId="0" xfId="0" applyFont="1" applyFill="1" applyAlignment="1" applyProtection="1">
      <alignment horizontal="center"/>
      <protection locked="0"/>
    </xf>
    <xf numFmtId="0" fontId="2" fillId="2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2" fillId="4" borderId="0" xfId="0" applyFont="1" applyFill="1" applyAlignment="1">
      <alignment horizontal="justify" vertical="justify"/>
    </xf>
    <xf numFmtId="0" fontId="0" fillId="5" borderId="0" xfId="0" applyFill="1" applyAlignment="1">
      <alignment horizontal="center"/>
    </xf>
    <xf numFmtId="0" fontId="2" fillId="0" borderId="0" xfId="0" applyFont="1" applyAlignment="1">
      <alignment horizontal="center"/>
    </xf>
    <xf numFmtId="0" fontId="11" fillId="8" borderId="0" xfId="0" applyFont="1" applyFill="1" applyAlignment="1">
      <alignment horizontal="center"/>
    </xf>
    <xf numFmtId="0" fontId="9" fillId="7" borderId="0" xfId="1" applyFont="1" applyFill="1" applyAlignment="1" applyProtection="1">
      <alignment horizontal="center" vertical="distributed"/>
      <protection locked="0"/>
    </xf>
    <xf numFmtId="0" fontId="3" fillId="4" borderId="0" xfId="0" applyFont="1" applyFill="1" applyAlignment="1" applyProtection="1">
      <alignment horizontal="center" vertical="distributed"/>
      <protection locked="0"/>
    </xf>
    <xf numFmtId="0" fontId="1" fillId="4" borderId="0" xfId="0" applyFont="1" applyFill="1" applyAlignment="1">
      <alignment horizontal="left"/>
    </xf>
    <xf numFmtId="10" fontId="0" fillId="0" borderId="0" xfId="2" applyNumberFormat="1" applyFont="1" applyAlignment="1">
      <alignment horizontal="center"/>
    </xf>
    <xf numFmtId="164" fontId="0" fillId="0" borderId="0" xfId="0" applyNumberFormat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Financial Calculation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FinaIndicators!$A$58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FinaIndicators!$E$58:$Y$58</c:f>
              <c:numCache>
                <c:formatCode>#,##0.00</c:formatCode>
                <c:ptCount val="21"/>
                <c:pt idx="1">
                  <c:v>-23400.177845503345</c:v>
                </c:pt>
                <c:pt idx="2">
                  <c:v>-24247.671175613625</c:v>
                </c:pt>
                <c:pt idx="3">
                  <c:v>-25045.227900438404</c:v>
                </c:pt>
                <c:pt idx="4">
                  <c:v>-25795.487704697793</c:v>
                </c:pt>
                <c:pt idx="5">
                  <c:v>-26500.982190212326</c:v>
                </c:pt>
                <c:pt idx="6">
                  <c:v>-27164.135658629733</c:v>
                </c:pt>
                <c:pt idx="7">
                  <c:v>-27787.266433152825</c:v>
                </c:pt>
                <c:pt idx="8">
                  <c:v>-28372.588629981194</c:v>
                </c:pt>
                <c:pt idx="9">
                  <c:v>-28922.214300876505</c:v>
                </c:pt>
                <c:pt idx="10">
                  <c:v>-29438.155877828067</c:v>
                </c:pt>
                <c:pt idx="11">
                  <c:v>-28969.851952332185</c:v>
                </c:pt>
                <c:pt idx="12">
                  <c:v>-28541.846116908091</c:v>
                </c:pt>
                <c:pt idx="13">
                  <c:v>-28150.688178782486</c:v>
                </c:pt>
                <c:pt idx="14">
                  <c:v>-27793.222094237688</c:v>
                </c:pt>
                <c:pt idx="15">
                  <c:v>-27466.560979739828</c:v>
                </c:pt>
                <c:pt idx="16">
                  <c:v>-27168.064239554275</c:v>
                </c:pt>
                <c:pt idx="17">
                  <c:v>-26895.316631048638</c:v>
                </c:pt>
                <c:pt idx="18">
                  <c:v>-26646.10910395519</c:v>
                </c:pt>
                <c:pt idx="19">
                  <c:v>-26418.421263668239</c:v>
                </c:pt>
                <c:pt idx="20">
                  <c:v>-26210.405321293958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09-45DE-A85C-656814A065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67773696"/>
        <c:axId val="44213952"/>
      </c:barChart>
      <c:lineChart>
        <c:grouping val="standard"/>
        <c:varyColors val="0"/>
        <c:ser>
          <c:idx val="0"/>
          <c:order val="0"/>
          <c:tx>
            <c:strRef>
              <c:f>FinaIndicators!$A$61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FinaIndicators!$E$61:$Y$61</c:f>
              <c:numCache>
                <c:formatCode>#,##0.00</c:formatCode>
                <c:ptCount val="21"/>
                <c:pt idx="0">
                  <c:v>-22500</c:v>
                </c:pt>
                <c:pt idx="1">
                  <c:v>25498.944807909149</c:v>
                </c:pt>
                <c:pt idx="2">
                  <c:v>28270.981047579942</c:v>
                </c:pt>
                <c:pt idx="3">
                  <c:v>30833.319416620205</c:v>
                </c:pt>
                <c:pt idx="4">
                  <c:v>33201.861793997763</c:v>
                </c:pt>
                <c:pt idx="5">
                  <c:v>35391.301046867426</c:v>
                </c:pt>
                <c:pt idx="6">
                  <c:v>37415.213204243337</c:v>
                </c:pt>
                <c:pt idx="7">
                  <c:v>39286.14258307455</c:v>
                </c:pt>
                <c:pt idx="8">
                  <c:v>41015.68040721961</c:v>
                </c:pt>
                <c:pt idx="9">
                  <c:v>42614.537418233042</c:v>
                </c:pt>
                <c:pt idx="10">
                  <c:v>44092.610938503502</c:v>
                </c:pt>
                <c:pt idx="11">
                  <c:v>44506.569904859854</c:v>
                </c:pt>
                <c:pt idx="12">
                  <c:v>44887.588045559445</c:v>
                </c:pt>
                <c:pt idx="13">
                  <c:v>45238.294918917491</c:v>
                </c:pt>
                <c:pt idx="14">
                  <c:v>45561.109536502998</c:v>
                </c:pt>
                <c:pt idx="15">
                  <c:v>45858.257270365779</c:v>
                </c:pt>
                <c:pt idx="16">
                  <c:v>46131.785398847591</c:v>
                </c:pt>
                <c:pt idx="17">
                  <c:v>46383.577400887436</c:v>
                </c:pt>
                <c:pt idx="18">
                  <c:v>46615.366099836043</c:v>
                </c:pt>
                <c:pt idx="19">
                  <c:v>46828.745749621208</c:v>
                </c:pt>
                <c:pt idx="20">
                  <c:v>47025.183148594988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109-45DE-A85C-656814A065C3}"/>
            </c:ext>
          </c:extLst>
        </c:ser>
        <c:ser>
          <c:idx val="1"/>
          <c:order val="1"/>
          <c:tx>
            <c:strRef>
              <c:f>FinaIndicators!$A$62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FinaIndicators!$E$62:$Y$62</c:f>
              <c:numCache>
                <c:formatCode>#,##0.00</c:formatCode>
                <c:ptCount val="21"/>
                <c:pt idx="1">
                  <c:v>2098.7669624058021</c:v>
                </c:pt>
                <c:pt idx="2">
                  <c:v>4023.3098719663167</c:v>
                </c:pt>
                <c:pt idx="3">
                  <c:v>5788.091516181802</c:v>
                </c:pt>
                <c:pt idx="4">
                  <c:v>7406.3740892999685</c:v>
                </c:pt>
                <c:pt idx="5">
                  <c:v>8890.3188566550998</c:v>
                </c:pt>
                <c:pt idx="6">
                  <c:v>10251.077545613605</c:v>
                </c:pt>
                <c:pt idx="7">
                  <c:v>11498.876149921725</c:v>
                </c:pt>
                <c:pt idx="8">
                  <c:v>12643.091777238416</c:v>
                </c:pt>
                <c:pt idx="9">
                  <c:v>13692.323117356535</c:v>
                </c:pt>
                <c:pt idx="10">
                  <c:v>14654.455060675436</c:v>
                </c:pt>
                <c:pt idx="11">
                  <c:v>15536.71795252767</c:v>
                </c:pt>
                <c:pt idx="12">
                  <c:v>16345.741928651354</c:v>
                </c:pt>
                <c:pt idx="13">
                  <c:v>17087.606740135005</c:v>
                </c:pt>
                <c:pt idx="14">
                  <c:v>17767.88744226531</c:v>
                </c:pt>
                <c:pt idx="15">
                  <c:v>18391.69629062595</c:v>
                </c:pt>
                <c:pt idx="16">
                  <c:v>18963.721159293316</c:v>
                </c:pt>
                <c:pt idx="17">
                  <c:v>19488.260769838798</c:v>
                </c:pt>
                <c:pt idx="18">
                  <c:v>19969.256995880853</c:v>
                </c:pt>
                <c:pt idx="19">
                  <c:v>20410.32448595297</c:v>
                </c:pt>
                <c:pt idx="20">
                  <c:v>20814.77782730103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109-45DE-A85C-656814A065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67773696"/>
        <c:axId val="44213952"/>
      </c:lineChart>
      <c:catAx>
        <c:axId val="1677736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Time</a:t>
                </a:r>
                <a:r>
                  <a:rPr lang="sr-Latn-RS" baseline="0"/>
                  <a:t>-frame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13952"/>
        <c:crosses val="autoZero"/>
        <c:auto val="1"/>
        <c:lblAlgn val="ctr"/>
        <c:lblOffset val="100"/>
        <c:noMultiLvlLbl val="0"/>
      </c:catAx>
      <c:valAx>
        <c:axId val="44213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773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Economical Calculation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'FinInd+CO2'!$A$60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'FinInd+CO2'!$E$9:$Y$9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'FinInd+CO2'!$E$60:$Y$60</c:f>
              <c:numCache>
                <c:formatCode>#,##0.00</c:formatCode>
                <c:ptCount val="21"/>
                <c:pt idx="1">
                  <c:v>-15185.910647129749</c:v>
                </c:pt>
                <c:pt idx="2">
                  <c:v>-18052.696580963908</c:v>
                </c:pt>
                <c:pt idx="3">
                  <c:v>-20939.005956195928</c:v>
                </c:pt>
                <c:pt idx="4">
                  <c:v>-23844.643538411827</c:v>
                </c:pt>
                <c:pt idx="5">
                  <c:v>-26769.41604554177</c:v>
                </c:pt>
                <c:pt idx="6">
                  <c:v>-29713.132128336612</c:v>
                </c:pt>
                <c:pt idx="7">
                  <c:v>-32675.602351039706</c:v>
                </c:pt>
                <c:pt idx="8">
                  <c:v>-35656.639172251969</c:v>
                </c:pt>
                <c:pt idx="9">
                  <c:v>-38656.056925988305</c:v>
                </c:pt>
                <c:pt idx="10">
                  <c:v>-41673.671802923491</c:v>
                </c:pt>
                <c:pt idx="11">
                  <c:v>-42496.999779827471</c:v>
                </c:pt>
                <c:pt idx="12">
                  <c:v>-43338.162757178623</c:v>
                </c:pt>
                <c:pt idx="13">
                  <c:v>-44196.982384972493</c:v>
                </c:pt>
                <c:pt idx="14">
                  <c:v>-45073.282096704635</c:v>
                </c:pt>
                <c:pt idx="15">
                  <c:v>-45966.887091535675</c:v>
                </c:pt>
                <c:pt idx="16">
                  <c:v>-46877.624316634625</c:v>
                </c:pt>
                <c:pt idx="17">
                  <c:v>-47805.322449698804</c:v>
                </c:pt>
                <c:pt idx="18">
                  <c:v>-48749.811881648566</c:v>
                </c:pt>
                <c:pt idx="19">
                  <c:v>-49710.924699495052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CE0-4F8C-A5FF-5505F0374C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75865344"/>
        <c:axId val="44217984"/>
      </c:barChart>
      <c:lineChart>
        <c:grouping val="standard"/>
        <c:varyColors val="0"/>
        <c:ser>
          <c:idx val="0"/>
          <c:order val="0"/>
          <c:tx>
            <c:strRef>
              <c:f>'FinInd+CO2'!$A$63</c:f>
              <c:strCache>
                <c:ptCount val="1"/>
                <c:pt idx="0">
                  <c:v>Graph - Cost discounted cumm.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'FinInd+CO2'!$E$63:$Y$63</c:f>
              <c:numCache>
                <c:formatCode>#,##0.00</c:formatCode>
                <c:ptCount val="21"/>
                <c:pt idx="0">
                  <c:v>12500</c:v>
                </c:pt>
                <c:pt idx="1">
                  <c:v>17677.101375317612</c:v>
                </c:pt>
                <c:pt idx="2">
                  <c:v>23158.142859312116</c:v>
                </c:pt>
                <c:pt idx="3">
                  <c:v>28632.565229202875</c:v>
                </c:pt>
                <c:pt idx="4">
                  <c:v>34100.434676130928</c:v>
                </c:pt>
                <c:pt idx="5">
                  <c:v>39561.816729325903</c:v>
                </c:pt>
                <c:pt idx="6">
                  <c:v>45016.776262725129</c:v>
                </c:pt>
                <c:pt idx="7">
                  <c:v>50465.377501526556</c:v>
                </c:pt>
                <c:pt idx="8">
                  <c:v>55907.684028676173</c:v>
                </c:pt>
                <c:pt idx="9">
                  <c:v>61343.758791290493</c:v>
                </c:pt>
                <c:pt idx="10">
                  <c:v>66773.664107014876</c:v>
                </c:pt>
                <c:pt idx="11">
                  <c:v>69985.159618320162</c:v>
                </c:pt>
                <c:pt idx="12">
                  <c:v>73190.608454728615</c:v>
                </c:pt>
                <c:pt idx="13">
                  <c:v>76390.071082989205</c:v>
                </c:pt>
                <c:pt idx="14">
                  <c:v>79583.607365183401</c:v>
                </c:pt>
                <c:pt idx="15">
                  <c:v>82771.276564771877</c:v>
                </c:pt>
                <c:pt idx="16">
                  <c:v>85953.137352580685</c:v>
                </c:pt>
                <c:pt idx="17">
                  <c:v>89129.247812727626</c:v>
                </c:pt>
                <c:pt idx="18">
                  <c:v>92299.665448489322</c:v>
                </c:pt>
                <c:pt idx="19">
                  <c:v>95464.447188109625</c:v>
                </c:pt>
                <c:pt idx="20">
                  <c:v>98623.649390549937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CE0-4F8C-A5FF-5505F0374CC5}"/>
            </c:ext>
          </c:extLst>
        </c:ser>
        <c:ser>
          <c:idx val="1"/>
          <c:order val="1"/>
          <c:tx>
            <c:strRef>
              <c:f>'FinInd+CO2'!$A$64</c:f>
              <c:strCache>
                <c:ptCount val="1"/>
                <c:pt idx="0">
                  <c:v>Graph - Income discounted cumm.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'FinInd+CO2'!$E$64:$Y$64</c:f>
              <c:numCache>
                <c:formatCode>#,##0.00</c:formatCode>
                <c:ptCount val="21"/>
                <c:pt idx="1">
                  <c:v>2491.190728187863</c:v>
                </c:pt>
                <c:pt idx="2">
                  <c:v>5105.4462783482068</c:v>
                </c:pt>
                <c:pt idx="3">
                  <c:v>7693.5592730069475</c:v>
                </c:pt>
                <c:pt idx="4">
                  <c:v>10255.791137719101</c:v>
                </c:pt>
                <c:pt idx="5">
                  <c:v>12792.400683784133</c:v>
                </c:pt>
                <c:pt idx="6">
                  <c:v>15303.644134388514</c:v>
                </c:pt>
                <c:pt idx="7">
                  <c:v>17789.77515048685</c:v>
                </c:pt>
                <c:pt idx="8">
                  <c:v>20251.044856424203</c:v>
                </c:pt>
                <c:pt idx="9">
                  <c:v>22687.701865302184</c:v>
                </c:pt>
                <c:pt idx="10">
                  <c:v>25099.992304091385</c:v>
                </c:pt>
                <c:pt idx="11">
                  <c:v>27488.159838492695</c:v>
                </c:pt>
                <c:pt idx="12">
                  <c:v>29852.445697549989</c:v>
                </c:pt>
                <c:pt idx="13">
                  <c:v>32193.088698016712</c:v>
                </c:pt>
                <c:pt idx="14">
                  <c:v>34510.325268478766</c:v>
                </c:pt>
                <c:pt idx="15">
                  <c:v>36804.389473236202</c:v>
                </c:pt>
                <c:pt idx="16">
                  <c:v>39075.51303594606</c:v>
                </c:pt>
                <c:pt idx="17">
                  <c:v>41323.925363028822</c:v>
                </c:pt>
                <c:pt idx="18">
                  <c:v>43549.853566840757</c:v>
                </c:pt>
                <c:pt idx="19">
                  <c:v>45753.522488614573</c:v>
                </c:pt>
                <c:pt idx="20">
                  <c:v>47935.154721170649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CE0-4F8C-A5FF-5505F0374C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75865344"/>
        <c:axId val="44217984"/>
      </c:lineChart>
      <c:catAx>
        <c:axId val="17586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Time</a:t>
                </a:r>
                <a:r>
                  <a:rPr lang="sr-Latn-RS" baseline="0"/>
                  <a:t>-frame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17984"/>
        <c:crosses val="autoZero"/>
        <c:auto val="1"/>
        <c:lblAlgn val="ctr"/>
        <c:lblOffset val="100"/>
        <c:noMultiLvlLbl val="0"/>
      </c:catAx>
      <c:valAx>
        <c:axId val="44217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865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Kretanje NPV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Osetljivost!$A$14</c:f>
              <c:strCache>
                <c:ptCount val="1"/>
                <c:pt idx="0">
                  <c:v>Cena električne energije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Osetljivost!$A$15:$A$16</c:f>
              <c:numCache>
                <c:formatCode>0%</c:formatCode>
                <c:ptCount val="2"/>
                <c:pt idx="0">
                  <c:v>0.1</c:v>
                </c:pt>
                <c:pt idx="1">
                  <c:v>-0.1</c:v>
                </c:pt>
              </c:numCache>
            </c:numRef>
          </c:cat>
          <c:val>
            <c:numRef>
              <c:f>Osetljivost!$B$15:$B$16</c:f>
              <c:numCache>
                <c:formatCode>#.##000_ ;[Red]\-#.##000\ </c:formatCode>
                <c:ptCount val="2"/>
                <c:pt idx="0">
                  <c:v>-22494.014917812561</c:v>
                </c:pt>
                <c:pt idx="1">
                  <c:v>-26060.756893653524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268-4C8E-A2A9-0018256285CD}"/>
            </c:ext>
          </c:extLst>
        </c:ser>
        <c:ser>
          <c:idx val="1"/>
          <c:order val="1"/>
          <c:tx>
            <c:strRef>
              <c:f>Osetljivost!$T$11</c:f>
              <c:strCache>
                <c:ptCount val="1"/>
                <c:pt idx="0">
                  <c:v>Cena električne energije + CO₂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Osetljivost!$D$15:$D$16</c:f>
              <c:numCache>
                <c:formatCode>#.##000_ ;[Red]\-#.##000\ </c:formatCode>
                <c:ptCount val="2"/>
                <c:pt idx="0">
                  <c:v>-8380.5769808138957</c:v>
                </c:pt>
                <c:pt idx="1">
                  <c:v>-11553.344662668967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268-4C8E-A2A9-0018256285CD}"/>
            </c:ext>
          </c:extLst>
        </c:ser>
        <c:ser>
          <c:idx val="2"/>
          <c:order val="2"/>
          <c:tx>
            <c:strRef>
              <c:f>Osetljivost!$A$19</c:f>
              <c:strCache>
                <c:ptCount val="1"/>
                <c:pt idx="0">
                  <c:v>Cena CO₂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Osetljivost!$D$20:$D$21</c:f>
              <c:numCache>
                <c:formatCode>#.##000_ ;[Red]\-#.##000\ </c:formatCode>
                <c:ptCount val="2"/>
                <c:pt idx="0">
                  <c:v>-8661.224749867215</c:v>
                </c:pt>
                <c:pt idx="1">
                  <c:v>-11258.181109406094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268-4C8E-A2A9-0018256285CD}"/>
            </c:ext>
          </c:extLst>
        </c:ser>
        <c:ser>
          <c:idx val="3"/>
          <c:order val="3"/>
          <c:tx>
            <c:strRef>
              <c:f>Osetljivost!$A$24</c:f>
              <c:strCache>
                <c:ptCount val="1"/>
                <c:pt idx="0">
                  <c:v>Investicije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Osetljivost!$B$25:$B$26</c:f>
              <c:numCache>
                <c:formatCode>#.##000_ ;[Red]\-#.##000\ </c:formatCode>
                <c:ptCount val="2"/>
                <c:pt idx="0">
                  <c:v>-28939.705133374249</c:v>
                </c:pt>
                <c:pt idx="1">
                  <c:v>-19477.470590565546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C268-4C8E-A2A9-0018256285CD}"/>
            </c:ext>
          </c:extLst>
        </c:ser>
        <c:ser>
          <c:idx val="4"/>
          <c:order val="4"/>
          <c:tx>
            <c:strRef>
              <c:f>Osetljivost!$T$12</c:f>
              <c:strCache>
                <c:ptCount val="1"/>
                <c:pt idx="0">
                  <c:v>Investicije + CO₂</c:v>
                </c:pt>
              </c:strCache>
            </c:strRef>
          </c:tx>
          <c:spPr>
            <a:ln w="28575" cap="rnd">
              <a:solidFill>
                <a:schemeClr val="accent6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Osetljivost!$D$25:$D$26</c:f>
              <c:numCache>
                <c:formatCode>#.##000_ ;[Red]\-#.##000\ </c:formatCode>
                <c:ptCount val="2"/>
                <c:pt idx="0">
                  <c:v>-14815.2106291856</c:v>
                </c:pt>
                <c:pt idx="1">
                  <c:v>-4985.3908485072188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C268-4C8E-A2A9-0018256285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541888"/>
        <c:axId val="64187776"/>
      </c:lineChart>
      <c:catAx>
        <c:axId val="69541888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187776"/>
        <c:crosses val="autoZero"/>
        <c:auto val="1"/>
        <c:lblAlgn val="ctr"/>
        <c:lblOffset val="100"/>
        <c:noMultiLvlLbl val="0"/>
      </c:catAx>
      <c:valAx>
        <c:axId val="64187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.##000_ ;[Red]\-#.##00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541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DHC Korist ako ESCO investira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[3]FinaIndikatori!$A$37</c:f>
              <c:strCache>
                <c:ptCount val="1"/>
                <c:pt idx="0">
                  <c:v>Dobit nakon oporezivanja (EUR/a)</c:v>
                </c:pt>
              </c:strCache>
              <c:extLst xmlns:c16r2="http://schemas.microsoft.com/office/drawing/2015/06/chart" xmlns:c15="http://schemas.microsoft.com/office/drawing/2012/chart"/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[3]FinaIndikatori!$E$37:$Y$37</c:f>
              <c:numCache>
                <c:formatCode>General</c:formatCode>
                <c:ptCount val="21"/>
                <c:pt idx="1">
                  <c:v>6520.0732439661178</c:v>
                </c:pt>
                <c:pt idx="2">
                  <c:v>7747.4209373872764</c:v>
                </c:pt>
                <c:pt idx="3">
                  <c:v>9122.0503540189729</c:v>
                </c:pt>
                <c:pt idx="4">
                  <c:v>10661.635300646474</c:v>
                </c:pt>
                <c:pt idx="5">
                  <c:v>12385.970440869276</c:v>
                </c:pt>
                <c:pt idx="6">
                  <c:v>14317.225797918811</c:v>
                </c:pt>
                <c:pt idx="7">
                  <c:v>16480.231797814289</c:v>
                </c:pt>
                <c:pt idx="8">
                  <c:v>18902.798517697232</c:v>
                </c:pt>
                <c:pt idx="9">
                  <c:v>21616.073243966122</c:v>
                </c:pt>
                <c:pt idx="10">
                  <c:v>21616.073243966122</c:v>
                </c:pt>
                <c:pt idx="11">
                  <c:v>21616.073243966122</c:v>
                </c:pt>
                <c:pt idx="12">
                  <c:v>21616.073243966122</c:v>
                </c:pt>
                <c:pt idx="13">
                  <c:v>21616.073243966122</c:v>
                </c:pt>
                <c:pt idx="14">
                  <c:v>21616.073243966122</c:v>
                </c:pt>
                <c:pt idx="15">
                  <c:v>21616.073243966122</c:v>
                </c:pt>
                <c:pt idx="16">
                  <c:v>21616.073243966122</c:v>
                </c:pt>
                <c:pt idx="17">
                  <c:v>21616.073243966122</c:v>
                </c:pt>
                <c:pt idx="18">
                  <c:v>21616.073243966122</c:v>
                </c:pt>
                <c:pt idx="19">
                  <c:v>21616.073243966122</c:v>
                </c:pt>
                <c:pt idx="20">
                  <c:v>21616.073243966122</c:v>
                </c:pt>
              </c:numCache>
              <c:extLst xmlns:c16r2="http://schemas.microsoft.com/office/drawing/2015/06/chart" xmlns:c15="http://schemas.microsoft.com/office/drawing/2012/chart"/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963-4F85-AEE7-5D8EA48110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69749248"/>
        <c:axId val="68945024"/>
        <c:extLst xmlns:c16r2="http://schemas.microsoft.com/office/drawing/2015/06/chart"/>
      </c:barChart>
      <c:lineChart>
        <c:grouping val="standard"/>
        <c:varyColors val="0"/>
        <c:ser>
          <c:idx val="3"/>
          <c:order val="1"/>
          <c:tx>
            <c:v>Korist kompanije za daljinsko grejanje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AkoESCO!$F$13:$Y$13</c:f>
              <c:numCache>
                <c:formatCode>#,##0.00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963-4F85-AEE7-5D8EA48110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69749248"/>
        <c:axId val="68945024"/>
        <c:extLst xmlns:c16r2="http://schemas.microsoft.com/office/drawing/2015/06/chart"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[3]FinaIndikatori!$A$39</c15:sqref>
                        </c15:formulaRef>
                      </c:ext>
                    </c:extLst>
                    <c:strCache>
                      <c:ptCount val="1"/>
                      <c:pt idx="0">
                        <c:v>Neto gotovinski tok</c:v>
                      </c:pt>
                    </c:strCache>
                  </c:strRef>
                </c:tx>
                <c:spPr>
                  <a:ln w="34925" cap="rnd">
                    <a:solidFill>
                      <a:schemeClr val="accent1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[3]FinaIndikatori!$E$3:$Y$3</c15:sqref>
                        </c15:formulaRef>
                      </c:ext>
                    </c:extLst>
                    <c:numCache>
                      <c:formatCode>General</c:formatCode>
                      <c:ptCount val="21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[3]FinaIndikatori!$E$39:$Y$39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-243000</c:v>
                      </c:pt>
                      <c:pt idx="1">
                        <c:v>6637.2527202292758</c:v>
                      </c:pt>
                      <c:pt idx="2">
                        <c:v>6420.6619508020121</c:v>
                      </c:pt>
                      <c:pt idx="3">
                        <c:v>6178.080289043477</c:v>
                      </c:pt>
                      <c:pt idx="4">
                        <c:v>5906.3888278739178</c:v>
                      </c:pt>
                      <c:pt idx="5">
                        <c:v>5602.0943913640131</c:v>
                      </c:pt>
                      <c:pt idx="6">
                        <c:v>5261.2846224729183</c:v>
                      </c:pt>
                      <c:pt idx="7">
                        <c:v>4879.5776813148914</c:v>
                      </c:pt>
                      <c:pt idx="8">
                        <c:v>4452.0659072179042</c:v>
                      </c:pt>
                      <c:pt idx="9">
                        <c:v>33766.073243966122</c:v>
                      </c:pt>
                      <c:pt idx="10">
                        <c:v>33766.073243966122</c:v>
                      </c:pt>
                      <c:pt idx="11">
                        <c:v>33766.073243966122</c:v>
                      </c:pt>
                      <c:pt idx="12">
                        <c:v>33766.073243966122</c:v>
                      </c:pt>
                      <c:pt idx="13">
                        <c:v>33766.073243966122</c:v>
                      </c:pt>
                      <c:pt idx="14">
                        <c:v>33766.073243966122</c:v>
                      </c:pt>
                      <c:pt idx="15">
                        <c:v>33766.073243966122</c:v>
                      </c:pt>
                      <c:pt idx="16">
                        <c:v>33766.073243966122</c:v>
                      </c:pt>
                      <c:pt idx="17">
                        <c:v>33766.073243966122</c:v>
                      </c:pt>
                      <c:pt idx="18">
                        <c:v>33766.073243966122</c:v>
                      </c:pt>
                      <c:pt idx="19">
                        <c:v>33766.073243966122</c:v>
                      </c:pt>
                      <c:pt idx="20">
                        <c:v>33766.073243966122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F963-4F85-AEE7-5D8EA48110A7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[3]FinaIndikatori!$A$40</c15:sqref>
                        </c15:formulaRef>
                      </c:ext>
                    </c:extLst>
                    <c:strCache>
                      <c:ptCount val="1"/>
                      <c:pt idx="0">
                        <c:v>Kumulativni gotovinski tok</c:v>
                      </c:pt>
                    </c:strCache>
                  </c:strRef>
                </c:tx>
                <c:spPr>
                  <a:ln w="34925" cap="rnd">
                    <a:solidFill>
                      <a:schemeClr val="accent2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[3]FinaIndikatori!$E$40:$Y$40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-243000</c:v>
                      </c:pt>
                      <c:pt idx="1">
                        <c:v>-236362.74727977073</c:v>
                      </c:pt>
                      <c:pt idx="2">
                        <c:v>-229942.08532896871</c:v>
                      </c:pt>
                      <c:pt idx="3">
                        <c:v>-223764.00503992522</c:v>
                      </c:pt>
                      <c:pt idx="4">
                        <c:v>-217857.6162120513</c:v>
                      </c:pt>
                      <c:pt idx="5">
                        <c:v>-212255.52182068728</c:v>
                      </c:pt>
                      <c:pt idx="6">
                        <c:v>-206994.23719821437</c:v>
                      </c:pt>
                      <c:pt idx="7">
                        <c:v>-202114.65951689947</c:v>
                      </c:pt>
                      <c:pt idx="8">
                        <c:v>-197662.59360968156</c:v>
                      </c:pt>
                      <c:pt idx="9">
                        <c:v>-163896.52036571543</c:v>
                      </c:pt>
                      <c:pt idx="10">
                        <c:v>-130130.44712174931</c:v>
                      </c:pt>
                      <c:pt idx="11">
                        <c:v>-96364.37387778319</c:v>
                      </c:pt>
                      <c:pt idx="12">
                        <c:v>-62598.300633817067</c:v>
                      </c:pt>
                      <c:pt idx="13">
                        <c:v>-28832.227389850945</c:v>
                      </c:pt>
                      <c:pt idx="14">
                        <c:v>4933.8458541151776</c:v>
                      </c:pt>
                      <c:pt idx="15">
                        <c:v>38699.9190980813</c:v>
                      </c:pt>
                      <c:pt idx="16">
                        <c:v>72465.992342047422</c:v>
                      </c:pt>
                      <c:pt idx="17">
                        <c:v>106232.06558601354</c:v>
                      </c:pt>
                      <c:pt idx="18">
                        <c:v>139998.13882997967</c:v>
                      </c:pt>
                      <c:pt idx="19">
                        <c:v>173764.21207394579</c:v>
                      </c:pt>
                      <c:pt idx="20">
                        <c:v>207530.28531791191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F963-4F85-AEE7-5D8EA48110A7}"/>
                  </c:ext>
                </c:extLst>
              </c15:ser>
            </c15:filteredLineSeries>
          </c:ext>
        </c:extLst>
      </c:lineChart>
      <c:catAx>
        <c:axId val="697492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45024"/>
        <c:crosses val="autoZero"/>
        <c:auto val="1"/>
        <c:lblAlgn val="ctr"/>
        <c:lblOffset val="100"/>
        <c:noMultiLvlLbl val="0"/>
      </c:catAx>
      <c:valAx>
        <c:axId val="68945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749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2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5" Type="http://schemas.openxmlformats.org/officeDocument/2006/relationships/chart" Target="../charts/chart3.xml"/><Relationship Id="rId4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chart" Target="../charts/chart4.xml"/><Relationship Id="rId4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A1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12</xdr:row>
      <xdr:rowOff>95250</xdr:rowOff>
    </xdr:from>
    <xdr:to>
      <xdr:col>2</xdr:col>
      <xdr:colOff>219875</xdr:colOff>
      <xdr:row>14</xdr:row>
      <xdr:rowOff>104428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23825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123825</xdr:colOff>
      <xdr:row>6</xdr:row>
      <xdr:rowOff>0</xdr:rowOff>
    </xdr:from>
    <xdr:to>
      <xdr:col>11</xdr:col>
      <xdr:colOff>562775</xdr:colOff>
      <xdr:row>8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48525" y="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95250</xdr:colOff>
      <xdr:row>29</xdr:row>
      <xdr:rowOff>0</xdr:rowOff>
    </xdr:from>
    <xdr:to>
      <xdr:col>2</xdr:col>
      <xdr:colOff>534200</xdr:colOff>
      <xdr:row>30</xdr:row>
      <xdr:rowOff>152053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14450" y="18669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117475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  <xdr:twoCellAnchor>
    <xdr:from>
      <xdr:col>10</xdr:col>
      <xdr:colOff>38100</xdr:colOff>
      <xdr:row>13</xdr:row>
      <xdr:rowOff>157162</xdr:rowOff>
    </xdr:from>
    <xdr:to>
      <xdr:col>17</xdr:col>
      <xdr:colOff>342900</xdr:colOff>
      <xdr:row>28</xdr:row>
      <xdr:rowOff>42862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xmlns="" id="{4FE0DA18-F0B2-C6EB-1AB0-F25C70602D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95250</xdr:colOff>
      <xdr:row>6</xdr:row>
      <xdr:rowOff>0</xdr:rowOff>
    </xdr:from>
    <xdr:to>
      <xdr:col>11</xdr:col>
      <xdr:colOff>534200</xdr:colOff>
      <xdr:row>8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05625" y="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07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9</xdr:row>
      <xdr:rowOff>0</xdr:rowOff>
    </xdr:from>
    <xdr:to>
      <xdr:col>16</xdr:col>
      <xdr:colOff>561975</xdr:colOff>
      <xdr:row>29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85725</xdr:colOff>
      <xdr:row>10</xdr:row>
      <xdr:rowOff>0</xdr:rowOff>
    </xdr:from>
    <xdr:to>
      <xdr:col>2</xdr:col>
      <xdr:colOff>524675</xdr:colOff>
      <xdr:row>12</xdr:row>
      <xdr:rowOff>9178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04925" y="762000"/>
          <a:ext cx="4389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85725</xdr:colOff>
      <xdr:row>19</xdr:row>
      <xdr:rowOff>0</xdr:rowOff>
    </xdr:from>
    <xdr:to>
      <xdr:col>3</xdr:col>
      <xdr:colOff>524675</xdr:colOff>
      <xdr:row>21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14525" y="24765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323849</xdr:colOff>
      <xdr:row>8</xdr:row>
      <xdr:rowOff>123824</xdr:rowOff>
    </xdr:from>
    <xdr:to>
      <xdr:col>7</xdr:col>
      <xdr:colOff>295274</xdr:colOff>
      <xdr:row>11</xdr:row>
      <xdr:rowOff>30691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8249" y="1743074"/>
          <a:ext cx="581025" cy="516467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1</xdr:col>
      <xdr:colOff>1689100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38100</xdr:colOff>
      <xdr:row>1</xdr:row>
      <xdr:rowOff>47625</xdr:rowOff>
    </xdr:from>
    <xdr:to>
      <xdr:col>9</xdr:col>
      <xdr:colOff>7620</xdr:colOff>
      <xdr:row>4</xdr:row>
      <xdr:rowOff>55245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8900" y="23812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2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400050</xdr:colOff>
      <xdr:row>13</xdr:row>
      <xdr:rowOff>9525</xdr:rowOff>
    </xdr:from>
    <xdr:to>
      <xdr:col>15</xdr:col>
      <xdr:colOff>229400</xdr:colOff>
      <xdr:row>15</xdr:row>
      <xdr:rowOff>18703</xdr:rowOff>
    </xdr:to>
    <xdr:pic>
      <xdr:nvPicPr>
        <xdr:cNvPr id="5" name="Pictur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991850" y="153352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51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11</xdr:row>
      <xdr:rowOff>0</xdr:rowOff>
    </xdr:from>
    <xdr:to>
      <xdr:col>14</xdr:col>
      <xdr:colOff>524675</xdr:colOff>
      <xdr:row>13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020175" y="12192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60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95250</xdr:colOff>
      <xdr:row>11</xdr:row>
      <xdr:rowOff>0</xdr:rowOff>
    </xdr:from>
    <xdr:to>
      <xdr:col>10</xdr:col>
      <xdr:colOff>534200</xdr:colOff>
      <xdr:row>13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01200" y="12192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178590</xdr:colOff>
      <xdr:row>6</xdr:row>
      <xdr:rowOff>35718</xdr:rowOff>
    </xdr:from>
    <xdr:to>
      <xdr:col>11</xdr:col>
      <xdr:colOff>617540</xdr:colOff>
      <xdr:row>7</xdr:row>
      <xdr:rowOff>163959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53434" y="35718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79406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178590</xdr:colOff>
      <xdr:row>6</xdr:row>
      <xdr:rowOff>23812</xdr:rowOff>
    </xdr:from>
    <xdr:to>
      <xdr:col>11</xdr:col>
      <xdr:colOff>617540</xdr:colOff>
      <xdr:row>7</xdr:row>
      <xdr:rowOff>152053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215309" y="23812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50906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12</xdr:row>
      <xdr:rowOff>133350</xdr:rowOff>
    </xdr:from>
    <xdr:to>
      <xdr:col>2</xdr:col>
      <xdr:colOff>219875</xdr:colOff>
      <xdr:row>14</xdr:row>
      <xdr:rowOff>142528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27635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oplotna%20pumpa%20na%20sekundar%20toplotne%20podstanic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Emisioni%20faktor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Kotao%20na%20biomas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cetna"/>
      <sheetName val="KonvFaktor"/>
      <sheetName val="PomTab1"/>
      <sheetName val="UnosPodataka"/>
      <sheetName val="EnergyCosts"/>
      <sheetName val="Annuity"/>
      <sheetName val="FinaIndicators"/>
      <sheetName val="FinInd+CO2"/>
      <sheetName val="GraphFina"/>
      <sheetName val="Graf+CO2"/>
      <sheetName val="LCoEE"/>
      <sheetName val="Osetljivost"/>
      <sheetName val="AkoESCO"/>
      <sheetName val="ESCOGrafFina"/>
      <sheetName val="REZIME"/>
      <sheetName val="Gorivo"/>
    </sheetNames>
    <sheetDataSet>
      <sheetData sheetId="0"/>
      <sheetData sheetId="1"/>
      <sheetData sheetId="2"/>
      <sheetData sheetId="3"/>
      <sheetData sheetId="4">
        <row r="9">
          <cell r="J9">
            <v>500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vFaktor"/>
      <sheetName val="Goriva"/>
    </sheetNames>
    <sheetDataSet>
      <sheetData sheetId="0"/>
      <sheetData sheetId="1">
        <row r="9">
          <cell r="B9" t="str">
            <v>Lignit</v>
          </cell>
        </row>
        <row r="10">
          <cell r="B10" t="str">
            <v>Mrki ugalj</v>
          </cell>
          <cell r="C10">
            <v>0.33</v>
          </cell>
        </row>
        <row r="11">
          <cell r="B11" t="str">
            <v>Kameni ugalj</v>
          </cell>
          <cell r="C11">
            <v>0.34</v>
          </cell>
        </row>
        <row r="12">
          <cell r="B12" t="str">
            <v>Lož ulje</v>
          </cell>
          <cell r="C12">
            <v>0.27</v>
          </cell>
        </row>
        <row r="13">
          <cell r="B13" t="str">
            <v>Mazut</v>
          </cell>
          <cell r="C13">
            <v>0.28000000000000003</v>
          </cell>
        </row>
        <row r="14">
          <cell r="B14" t="str">
            <v>Prirodni gas</v>
          </cell>
          <cell r="C14">
            <v>0.2</v>
          </cell>
        </row>
        <row r="15">
          <cell r="B15" t="str">
            <v>TNG</v>
          </cell>
          <cell r="C15">
            <v>0.22</v>
          </cell>
        </row>
        <row r="16">
          <cell r="B16" t="str">
            <v>Drvo (nesertifikovano)</v>
          </cell>
          <cell r="C16">
            <v>0.49399999999999999</v>
          </cell>
        </row>
        <row r="17">
          <cell r="B17" t="str">
            <v>Drvo sertifikovano</v>
          </cell>
          <cell r="C17">
            <v>0</v>
          </cell>
        </row>
        <row r="18">
          <cell r="B18" t="str">
            <v>Suncokret ljuska</v>
          </cell>
          <cell r="C18">
            <v>0.04</v>
          </cell>
        </row>
        <row r="19">
          <cell r="B19" t="str">
            <v>Toplota (kupljena)</v>
          </cell>
          <cell r="C19">
            <v>0.28999999999999998</v>
          </cell>
        </row>
        <row r="20">
          <cell r="B20" t="str">
            <v>Električna energija</v>
          </cell>
          <cell r="C20">
            <v>0.8</v>
          </cell>
        </row>
        <row r="21">
          <cell r="B21" t="str">
            <v>Električna energija OIE</v>
          </cell>
          <cell r="C21">
            <v>0</v>
          </cell>
        </row>
        <row r="22">
          <cell r="B22" t="str">
            <v>Gorivo</v>
          </cell>
        </row>
        <row r="23">
          <cell r="B23" t="str">
            <v>Toplota iz DH</v>
          </cell>
          <cell r="C23">
            <v>0.22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cetna"/>
      <sheetName val="KonvFaktor"/>
      <sheetName val="PomTab1"/>
      <sheetName val="UnosPodataka"/>
      <sheetName val="TrosakEnergije"/>
      <sheetName val="Anuiteti"/>
      <sheetName val="FinaIndikatori"/>
      <sheetName val="FinInd+CO2"/>
      <sheetName val="GrafFina"/>
      <sheetName val="Graf+CO2"/>
      <sheetName val="LCoEE"/>
      <sheetName val="Osetljivost"/>
      <sheetName val="AkoESCO"/>
      <sheetName val="ESCOGrafFina"/>
      <sheetName val="REZIME"/>
      <sheetName val="Gorivo"/>
    </sheetNames>
    <sheetDataSet>
      <sheetData sheetId="0"/>
      <sheetData sheetId="1"/>
      <sheetData sheetId="2"/>
      <sheetData sheetId="3"/>
      <sheetData sheetId="4"/>
      <sheetData sheetId="5"/>
      <sheetData sheetId="6">
        <row r="37">
          <cell r="A37" t="str">
            <v>Dobit nakon oporezivanja (EUR/a)</v>
          </cell>
          <cell r="F37">
            <v>6520.0732439661178</v>
          </cell>
          <cell r="G37">
            <v>7747.4209373872764</v>
          </cell>
          <cell r="H37">
            <v>9122.0503540189729</v>
          </cell>
          <cell r="I37">
            <v>10661.635300646474</v>
          </cell>
          <cell r="J37">
            <v>12385.970440869276</v>
          </cell>
          <cell r="K37">
            <v>14317.225797918811</v>
          </cell>
          <cell r="L37">
            <v>16480.231797814289</v>
          </cell>
          <cell r="M37">
            <v>18902.798517697232</v>
          </cell>
          <cell r="N37">
            <v>21616.073243966122</v>
          </cell>
          <cell r="O37">
            <v>21616.073243966122</v>
          </cell>
          <cell r="P37">
            <v>21616.073243966122</v>
          </cell>
          <cell r="Q37">
            <v>21616.073243966122</v>
          </cell>
          <cell r="R37">
            <v>21616.073243966122</v>
          </cell>
          <cell r="S37">
            <v>21616.073243966122</v>
          </cell>
          <cell r="T37">
            <v>21616.073243966122</v>
          </cell>
          <cell r="U37">
            <v>21616.073243966122</v>
          </cell>
          <cell r="V37">
            <v>21616.073243966122</v>
          </cell>
          <cell r="W37">
            <v>21616.073243966122</v>
          </cell>
          <cell r="X37">
            <v>21616.073243966122</v>
          </cell>
          <cell r="Y37">
            <v>21616.073243966122</v>
          </cell>
        </row>
        <row r="39">
          <cell r="A39" t="str">
            <v>Neto gotovinski tok</v>
          </cell>
          <cell r="E39">
            <v>-243000</v>
          </cell>
          <cell r="F39">
            <v>6637.2527202292758</v>
          </cell>
          <cell r="G39">
            <v>6420.6619508020121</v>
          </cell>
          <cell r="H39">
            <v>6178.080289043477</v>
          </cell>
          <cell r="I39">
            <v>5906.3888278739178</v>
          </cell>
          <cell r="J39">
            <v>5602.0943913640131</v>
          </cell>
          <cell r="K39">
            <v>5261.2846224729183</v>
          </cell>
          <cell r="L39">
            <v>4879.5776813148914</v>
          </cell>
          <cell r="M39">
            <v>4452.0659072179042</v>
          </cell>
          <cell r="N39">
            <v>33766.073243966122</v>
          </cell>
          <cell r="O39">
            <v>33766.073243966122</v>
          </cell>
          <cell r="P39">
            <v>33766.073243966122</v>
          </cell>
          <cell r="Q39">
            <v>33766.073243966122</v>
          </cell>
          <cell r="R39">
            <v>33766.073243966122</v>
          </cell>
          <cell r="S39">
            <v>33766.073243966122</v>
          </cell>
          <cell r="T39">
            <v>33766.073243966122</v>
          </cell>
          <cell r="U39">
            <v>33766.073243966122</v>
          </cell>
          <cell r="V39">
            <v>33766.073243966122</v>
          </cell>
          <cell r="W39">
            <v>33766.073243966122</v>
          </cell>
          <cell r="X39">
            <v>33766.073243966122</v>
          </cell>
          <cell r="Y39">
            <v>33766.073243966122</v>
          </cell>
        </row>
        <row r="40">
          <cell r="A40" t="str">
            <v>Kumulativni gotovinski tok</v>
          </cell>
          <cell r="E40">
            <v>-243000</v>
          </cell>
          <cell r="F40">
            <v>-236362.74727977073</v>
          </cell>
          <cell r="G40">
            <v>-229942.08532896871</v>
          </cell>
          <cell r="H40">
            <v>-223764.00503992522</v>
          </cell>
          <cell r="I40">
            <v>-217857.6162120513</v>
          </cell>
          <cell r="J40">
            <v>-212255.52182068728</v>
          </cell>
          <cell r="K40">
            <v>-206994.23719821437</v>
          </cell>
          <cell r="L40">
            <v>-202114.65951689947</v>
          </cell>
          <cell r="M40">
            <v>-197662.59360968156</v>
          </cell>
          <cell r="N40">
            <v>-163896.52036571543</v>
          </cell>
          <cell r="O40">
            <v>-130130.44712174931</v>
          </cell>
          <cell r="P40">
            <v>-96364.37387778319</v>
          </cell>
          <cell r="Q40">
            <v>-62598.300633817067</v>
          </cell>
          <cell r="R40">
            <v>-28832.227389850945</v>
          </cell>
          <cell r="S40">
            <v>4933.8458541151776</v>
          </cell>
          <cell r="T40">
            <v>38699.9190980813</v>
          </cell>
          <cell r="U40">
            <v>72465.992342047422</v>
          </cell>
          <cell r="V40">
            <v>106232.06558601354</v>
          </cell>
          <cell r="W40">
            <v>139998.13882997967</v>
          </cell>
          <cell r="X40">
            <v>173764.21207394579</v>
          </cell>
          <cell r="Y40">
            <v>207530.28531791191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PROJEKAT%20-%20POCETNA%20STRANA.xls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3:R24"/>
  <sheetViews>
    <sheetView workbookViewId="0">
      <selection activeCell="U20" sqref="U20"/>
    </sheetView>
  </sheetViews>
  <sheetFormatPr defaultRowHeight="15" x14ac:dyDescent="0.25"/>
  <sheetData>
    <row r="3" spans="2:18" ht="16.5" x14ac:dyDescent="0.35">
      <c r="F3" s="52" t="s">
        <v>136</v>
      </c>
      <c r="G3" s="52"/>
      <c r="H3" s="52"/>
      <c r="I3" s="52"/>
    </row>
    <row r="7" spans="2:18" x14ac:dyDescent="0.25">
      <c r="B7" s="53" t="s">
        <v>0</v>
      </c>
      <c r="C7" s="53"/>
      <c r="D7" s="53"/>
      <c r="E7" s="53"/>
      <c r="F7" s="53"/>
      <c r="G7" s="53"/>
      <c r="H7" s="53"/>
      <c r="I7" s="53"/>
      <c r="J7" s="53"/>
      <c r="K7" s="53"/>
    </row>
    <row r="8" spans="2:18" x14ac:dyDescent="0.25">
      <c r="B8" s="53"/>
      <c r="C8" s="53"/>
      <c r="D8" s="53"/>
      <c r="E8" s="53"/>
      <c r="F8" s="53"/>
      <c r="G8" s="53"/>
      <c r="H8" s="53"/>
      <c r="I8" s="53"/>
      <c r="J8" s="53"/>
      <c r="K8" s="53"/>
    </row>
    <row r="9" spans="2:18" x14ac:dyDescent="0.25">
      <c r="B9" s="53"/>
      <c r="C9" s="53"/>
      <c r="D9" s="53"/>
      <c r="E9" s="53"/>
      <c r="F9" s="53"/>
      <c r="G9" s="53"/>
      <c r="H9" s="53"/>
      <c r="I9" s="53"/>
      <c r="J9" s="53"/>
      <c r="K9" s="53"/>
      <c r="M9" s="54" t="s">
        <v>2</v>
      </c>
      <c r="N9" s="54"/>
      <c r="O9" s="54"/>
      <c r="P9" s="54"/>
      <c r="Q9" s="54"/>
      <c r="R9" s="54"/>
    </row>
    <row r="10" spans="2:18" x14ac:dyDescent="0.25">
      <c r="B10" s="53"/>
      <c r="C10" s="53"/>
      <c r="D10" s="53"/>
      <c r="E10" s="53"/>
      <c r="F10" s="53"/>
      <c r="G10" s="53"/>
      <c r="H10" s="53"/>
      <c r="I10" s="53"/>
      <c r="J10" s="53"/>
      <c r="K10" s="53"/>
      <c r="M10" s="54"/>
      <c r="N10" s="54"/>
      <c r="O10" s="54"/>
      <c r="P10" s="54"/>
      <c r="Q10" s="54"/>
      <c r="R10" s="54"/>
    </row>
    <row r="11" spans="2:18" x14ac:dyDescent="0.25">
      <c r="B11" s="53"/>
      <c r="C11" s="53"/>
      <c r="D11" s="53"/>
      <c r="E11" s="53"/>
      <c r="F11" s="53"/>
      <c r="G11" s="53"/>
      <c r="H11" s="53"/>
      <c r="I11" s="53"/>
      <c r="J11" s="53"/>
      <c r="K11" s="53"/>
    </row>
    <row r="12" spans="2:18" x14ac:dyDescent="0.25">
      <c r="B12" s="53"/>
      <c r="C12" s="53"/>
      <c r="D12" s="53"/>
      <c r="E12" s="53"/>
      <c r="F12" s="53"/>
      <c r="G12" s="53"/>
      <c r="H12" s="53"/>
      <c r="I12" s="53"/>
      <c r="J12" s="53"/>
      <c r="K12" s="53"/>
      <c r="M12" s="55" t="s">
        <v>64</v>
      </c>
      <c r="N12" s="55"/>
      <c r="O12" s="55"/>
      <c r="P12" s="55"/>
      <c r="Q12" s="55"/>
      <c r="R12" s="55"/>
    </row>
    <row r="13" spans="2:18" x14ac:dyDescent="0.25">
      <c r="B13" s="53"/>
      <c r="C13" s="53"/>
      <c r="D13" s="53"/>
      <c r="E13" s="53"/>
      <c r="F13" s="53"/>
      <c r="G13" s="53"/>
      <c r="H13" s="53"/>
      <c r="I13" s="53"/>
      <c r="J13" s="53"/>
      <c r="K13" s="53"/>
    </row>
    <row r="14" spans="2:18" x14ac:dyDescent="0.25">
      <c r="B14" s="53"/>
      <c r="C14" s="53"/>
      <c r="D14" s="53"/>
      <c r="E14" s="53"/>
      <c r="F14" s="53"/>
      <c r="G14" s="53"/>
      <c r="H14" s="53"/>
      <c r="I14" s="53"/>
      <c r="J14" s="53"/>
      <c r="K14" s="53"/>
      <c r="M14" s="56" t="s">
        <v>114</v>
      </c>
      <c r="N14" s="56"/>
      <c r="Q14" s="57" t="s">
        <v>115</v>
      </c>
      <c r="R14" s="57"/>
    </row>
    <row r="15" spans="2:18" x14ac:dyDescent="0.25">
      <c r="B15" s="53"/>
      <c r="C15" s="53"/>
      <c r="D15" s="53"/>
      <c r="E15" s="53"/>
      <c r="F15" s="53"/>
      <c r="G15" s="53"/>
      <c r="H15" s="53"/>
      <c r="I15" s="53"/>
      <c r="J15" s="53"/>
      <c r="K15" s="53"/>
      <c r="M15" s="56"/>
      <c r="N15" s="56"/>
      <c r="Q15" s="57"/>
      <c r="R15" s="57"/>
    </row>
    <row r="16" spans="2:18" x14ac:dyDescent="0.25">
      <c r="B16" s="53"/>
      <c r="C16" s="53"/>
      <c r="D16" s="53"/>
      <c r="E16" s="53"/>
      <c r="F16" s="53"/>
      <c r="G16" s="53"/>
      <c r="H16" s="53"/>
      <c r="I16" s="53"/>
      <c r="J16" s="53"/>
      <c r="K16" s="53"/>
    </row>
    <row r="17" spans="2:11" x14ac:dyDescent="0.25">
      <c r="B17" s="53"/>
      <c r="C17" s="53"/>
      <c r="D17" s="53"/>
      <c r="E17" s="53"/>
      <c r="F17" s="53"/>
      <c r="G17" s="53"/>
      <c r="H17" s="53"/>
      <c r="I17" s="53"/>
      <c r="J17" s="53"/>
      <c r="K17" s="53"/>
    </row>
    <row r="18" spans="2:11" x14ac:dyDescent="0.25">
      <c r="B18" s="53"/>
      <c r="C18" s="53"/>
      <c r="D18" s="53"/>
      <c r="E18" s="53"/>
      <c r="F18" s="53"/>
      <c r="G18" s="53"/>
      <c r="H18" s="53"/>
      <c r="I18" s="53"/>
      <c r="J18" s="53"/>
      <c r="K18" s="53"/>
    </row>
    <row r="19" spans="2:11" x14ac:dyDescent="0.25">
      <c r="B19" s="53"/>
      <c r="C19" s="53"/>
      <c r="D19" s="53"/>
      <c r="E19" s="53"/>
      <c r="F19" s="53"/>
      <c r="G19" s="53"/>
      <c r="H19" s="53"/>
      <c r="I19" s="53"/>
      <c r="J19" s="53"/>
      <c r="K19" s="53"/>
    </row>
    <row r="20" spans="2:11" x14ac:dyDescent="0.25">
      <c r="B20" s="53"/>
      <c r="C20" s="53"/>
      <c r="D20" s="53"/>
      <c r="E20" s="53"/>
      <c r="F20" s="53"/>
      <c r="G20" s="53"/>
      <c r="H20" s="53"/>
      <c r="I20" s="53"/>
      <c r="J20" s="53"/>
      <c r="K20" s="53"/>
    </row>
    <row r="21" spans="2:11" x14ac:dyDescent="0.25">
      <c r="B21" s="53"/>
      <c r="C21" s="53"/>
      <c r="D21" s="53"/>
      <c r="E21" s="53"/>
      <c r="F21" s="53"/>
      <c r="G21" s="53"/>
      <c r="H21" s="53"/>
      <c r="I21" s="53"/>
      <c r="J21" s="53"/>
      <c r="K21" s="53"/>
    </row>
    <row r="22" spans="2:11" x14ac:dyDescent="0.25">
      <c r="B22" s="53"/>
      <c r="C22" s="53"/>
      <c r="D22" s="53"/>
      <c r="E22" s="53"/>
      <c r="F22" s="53"/>
      <c r="G22" s="53"/>
      <c r="H22" s="53"/>
      <c r="I22" s="53"/>
      <c r="J22" s="53"/>
      <c r="K22" s="53"/>
    </row>
    <row r="23" spans="2:11" x14ac:dyDescent="0.25">
      <c r="B23" s="53"/>
      <c r="C23" s="53"/>
      <c r="D23" s="53"/>
      <c r="E23" s="53"/>
      <c r="F23" s="53"/>
      <c r="G23" s="53"/>
      <c r="H23" s="53"/>
      <c r="I23" s="53"/>
      <c r="J23" s="53"/>
      <c r="K23" s="53"/>
    </row>
    <row r="24" spans="2:11" x14ac:dyDescent="0.25">
      <c r="B24" s="53"/>
      <c r="C24" s="53"/>
      <c r="D24" s="53"/>
      <c r="E24" s="53"/>
      <c r="F24" s="53"/>
      <c r="G24" s="53"/>
      <c r="H24" s="53"/>
      <c r="I24" s="53"/>
      <c r="J24" s="53"/>
      <c r="K24" s="53"/>
    </row>
  </sheetData>
  <mergeCells count="6">
    <mergeCell ref="F3:I3"/>
    <mergeCell ref="B7:K24"/>
    <mergeCell ref="M9:R10"/>
    <mergeCell ref="M12:R12"/>
    <mergeCell ref="M14:N15"/>
    <mergeCell ref="Q14:R15"/>
  </mergeCells>
  <hyperlinks>
    <hyperlink ref="M14:N15" r:id="rId1" display="NAZAD"/>
    <hyperlink ref="Q14:R15" location="UnosPodataka!B2" display="DALJE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Može se izabrati samo projekat sa liste" promptTitle="Projekat koji se analizira" prompt="Izaberi projekat koji će se analizirati">
          <x14:formula1>
            <xm:f>PomTab1!$C$7:$C$23</xm:f>
          </x14:formula1>
          <xm:sqref>M12:R12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D30" sqref="D30"/>
    </sheetView>
  </sheetViews>
  <sheetFormatPr defaultRowHeight="15" x14ac:dyDescent="0.25"/>
  <sheetData>
    <row r="3" spans="1:9" ht="16.5" x14ac:dyDescent="0.35">
      <c r="F3" s="52" t="s">
        <v>136</v>
      </c>
      <c r="G3" s="52"/>
      <c r="H3" s="52"/>
      <c r="I3" s="52"/>
    </row>
    <row r="7" spans="1:9" ht="15" customHeight="1" x14ac:dyDescent="0.25">
      <c r="A7" s="54" t="s">
        <v>33</v>
      </c>
      <c r="B7" s="54"/>
      <c r="C7" s="54"/>
      <c r="D7" s="54"/>
    </row>
    <row r="8" spans="1:9" ht="15" customHeight="1" x14ac:dyDescent="0.25">
      <c r="A8" s="54"/>
      <c r="B8" s="54"/>
      <c r="C8" s="54"/>
      <c r="D8" s="54"/>
    </row>
    <row r="9" spans="1:9" x14ac:dyDescent="0.25">
      <c r="A9" s="54"/>
      <c r="B9" s="54"/>
      <c r="C9" s="54"/>
      <c r="D9" s="54"/>
    </row>
    <row r="11" spans="1:9" x14ac:dyDescent="0.25">
      <c r="A11" s="56" t="s">
        <v>114</v>
      </c>
      <c r="B11" s="56"/>
      <c r="C11" s="57" t="s">
        <v>115</v>
      </c>
      <c r="D11" s="57"/>
    </row>
    <row r="12" spans="1:9" x14ac:dyDescent="0.25">
      <c r="A12" s="56"/>
      <c r="B12" s="56"/>
      <c r="C12" s="57"/>
      <c r="D12" s="57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GraphFina!A5" display="NAZAD"/>
    <hyperlink ref="C11:D12" location="LCoEE!A1" display="DALJE"/>
  </hyperlink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B21"/>
  <sheetViews>
    <sheetView workbookViewId="0">
      <selection activeCell="F13" sqref="F13"/>
    </sheetView>
  </sheetViews>
  <sheetFormatPr defaultRowHeight="15" x14ac:dyDescent="0.25"/>
  <cols>
    <col min="6" max="6" width="10.7109375" customWidth="1"/>
    <col min="7" max="8" width="10.140625" customWidth="1"/>
    <col min="9" max="9" width="10" customWidth="1"/>
    <col min="10" max="10" width="10.28515625" customWidth="1"/>
    <col min="11" max="11" width="9.85546875" customWidth="1"/>
    <col min="12" max="13" width="10.28515625" customWidth="1"/>
    <col min="14" max="14" width="10.5703125" customWidth="1"/>
    <col min="15" max="15" width="10.42578125" customWidth="1"/>
  </cols>
  <sheetData>
    <row r="3" spans="1:28" ht="16.5" x14ac:dyDescent="0.35">
      <c r="F3" s="52" t="s">
        <v>136</v>
      </c>
      <c r="G3" s="52"/>
      <c r="H3" s="52"/>
      <c r="I3" s="52"/>
    </row>
    <row r="7" spans="1:28" x14ac:dyDescent="0.25">
      <c r="A7" s="73" t="s">
        <v>43</v>
      </c>
      <c r="B7" s="73"/>
      <c r="C7" s="73"/>
      <c r="D7" s="73"/>
      <c r="I7" s="56" t="s">
        <v>114</v>
      </c>
      <c r="J7" s="56"/>
      <c r="N7" s="72" t="s">
        <v>115</v>
      </c>
      <c r="O7" s="72"/>
    </row>
    <row r="8" spans="1:28" x14ac:dyDescent="0.25">
      <c r="A8" s="73"/>
      <c r="B8" s="73"/>
      <c r="C8" s="73"/>
      <c r="D8" s="73"/>
      <c r="I8" s="56"/>
      <c r="J8" s="56"/>
      <c r="N8" s="72"/>
      <c r="O8" s="72"/>
    </row>
    <row r="10" spans="1:28" x14ac:dyDescent="0.25">
      <c r="A10" s="61" t="s">
        <v>11</v>
      </c>
      <c r="B10" s="61"/>
      <c r="C10" s="61"/>
      <c r="D10" s="61"/>
      <c r="E10" s="18"/>
      <c r="F10" s="18">
        <f>IF(E10&lt;UnosPodataka!$M$25,E10+1,"")</f>
        <v>1</v>
      </c>
      <c r="G10" s="18">
        <f>IF(F10&lt;UnosPodataka!$M$25,F10+1,"")</f>
        <v>2</v>
      </c>
      <c r="H10" s="18">
        <f>IF(G10&lt;UnosPodataka!$M$25,G10+1,"")</f>
        <v>3</v>
      </c>
      <c r="I10" s="18">
        <f>IF(H10&lt;UnosPodataka!$M$25,H10+1,"")</f>
        <v>4</v>
      </c>
      <c r="J10" s="18">
        <f>IF(I10&lt;UnosPodataka!$M$25,I10+1,"")</f>
        <v>5</v>
      </c>
      <c r="K10" s="18">
        <f>IF(J10&lt;UnosPodataka!$M$25,J10+1,"")</f>
        <v>6</v>
      </c>
      <c r="L10" s="18">
        <f>IF(K10&lt;UnosPodataka!$M$25,K10+1,"")</f>
        <v>7</v>
      </c>
      <c r="M10" s="18">
        <f>IF(L10&lt;UnosPodataka!$M$25,L10+1,"")</f>
        <v>8</v>
      </c>
      <c r="N10" s="18">
        <f>IF(M10&lt;UnosPodataka!$M$25,M10+1,"")</f>
        <v>9</v>
      </c>
      <c r="O10" s="18">
        <f>IF(N10&lt;UnosPodataka!$M$25,N10+1,"")</f>
        <v>10</v>
      </c>
      <c r="P10" s="18">
        <f>IF(O10&lt;UnosPodataka!$M$25,O10+1,"")</f>
        <v>11</v>
      </c>
      <c r="Q10" s="18">
        <f>IF(P10&lt;UnosPodataka!$M$25,P10+1,"")</f>
        <v>12</v>
      </c>
      <c r="R10" s="18">
        <f>IF(Q10&lt;UnosPodataka!$M$25,Q10+1,"")</f>
        <v>13</v>
      </c>
      <c r="S10" s="18">
        <f>IF(R10&lt;UnosPodataka!$M$25,R10+1,"")</f>
        <v>14</v>
      </c>
      <c r="T10" s="18">
        <f>IF(S10&lt;UnosPodataka!$M$25,S10+1,"")</f>
        <v>15</v>
      </c>
      <c r="U10" s="18">
        <f>IF(T10&lt;UnosPodataka!$M$25,T10+1,"")</f>
        <v>16</v>
      </c>
      <c r="V10" s="18">
        <f>IF(U10&lt;UnosPodataka!$M$25,U10+1,"")</f>
        <v>17</v>
      </c>
      <c r="W10" s="18">
        <f>IF(V10&lt;UnosPodataka!$M$25,V10+1,"")</f>
        <v>18</v>
      </c>
      <c r="X10" s="18">
        <f>IF(W10&lt;UnosPodataka!$M$25,W10+1,"")</f>
        <v>19</v>
      </c>
      <c r="Y10" s="18">
        <f>IF(X10&lt;UnosPodataka!$M$25,X10+1,"")</f>
        <v>20</v>
      </c>
      <c r="Z10" s="19"/>
      <c r="AA10" s="19"/>
      <c r="AB10" s="19"/>
    </row>
    <row r="12" spans="1:28" x14ac:dyDescent="0.25">
      <c r="A12" s="63" t="s">
        <v>28</v>
      </c>
      <c r="B12" s="63"/>
      <c r="C12" s="63"/>
      <c r="D12" s="63"/>
      <c r="E12" s="3"/>
      <c r="F12" s="3">
        <f>Investment</f>
        <v>22500</v>
      </c>
    </row>
    <row r="13" spans="1:28" x14ac:dyDescent="0.25">
      <c r="A13" s="63" t="s">
        <v>36</v>
      </c>
      <c r="B13" s="63"/>
      <c r="C13" s="63"/>
      <c r="D13" s="63"/>
      <c r="F13" s="3">
        <f>IF(F10&lt;&gt;"",-(FinaIndicators!F30+FinaIndicators!F35),"")</f>
        <v>5487.7274578366705</v>
      </c>
      <c r="G13" s="3">
        <f>IF(G10&lt;&gt;"",-(FinaIndicators!G30+FinaIndicators!G35),"")</f>
        <v>5481.0414839945042</v>
      </c>
      <c r="H13" s="3">
        <f>IF(H10&lt;&gt;"",-(FinaIndicators!H30+FinaIndicators!H35),"")</f>
        <v>5474.422369890759</v>
      </c>
      <c r="I13" s="3">
        <f>IF(I10&lt;&gt;"",-(FinaIndicators!I30+FinaIndicators!I35),"")</f>
        <v>5467.8694469280526</v>
      </c>
      <c r="J13" s="3">
        <f>IF(J10&lt;&gt;"",-(FinaIndicators!J30+FinaIndicators!J35),"")</f>
        <v>5461.3820531949714</v>
      </c>
      <c r="K13" s="3">
        <f>IF(K10&lt;&gt;"",-(FinaIndicators!K30+FinaIndicators!K35),"")</f>
        <v>5454.9595333992229</v>
      </c>
      <c r="L13" s="3">
        <f>IF(L10&lt;&gt;"",-(FinaIndicators!L30+FinaIndicators!L35),"")</f>
        <v>5448.6012388014315</v>
      </c>
      <c r="M13" s="3">
        <f>IF(M10&lt;&gt;"",-(FinaIndicators!M30+FinaIndicators!M35),"")</f>
        <v>5442.3065271496171</v>
      </c>
      <c r="N13" s="3">
        <f>IF(N10&lt;&gt;"",-(FinaIndicators!N30+FinaIndicators!N35),"")</f>
        <v>5436.0747626143211</v>
      </c>
      <c r="O13" s="3">
        <f>IF(O10&lt;&gt;"",-(FinaIndicators!O30+FinaIndicators!O35),"")</f>
        <v>5429.9053157243779</v>
      </c>
      <c r="P13" s="3">
        <f>IF(P10&lt;&gt;"",-(FinaIndicators!P30+FinaIndicators!P35),"")</f>
        <v>3211.4955113052843</v>
      </c>
      <c r="Q13" s="3">
        <f>IF(Q10&lt;&gt;"",-(FinaIndicators!Q30+FinaIndicators!Q35),"")</f>
        <v>3205.4488364084514</v>
      </c>
      <c r="R13" s="3">
        <f>IF(R10&lt;&gt;"",-(FinaIndicators!R30+FinaIndicators!R35),"")</f>
        <v>3199.4626282605868</v>
      </c>
      <c r="S13" s="3">
        <f>IF(S10&lt;&gt;"",-(FinaIndicators!S30+FinaIndicators!S35),"")</f>
        <v>3193.5362821942008</v>
      </c>
      <c r="T13" s="3">
        <f>IF(T10&lt;&gt;"",-(FinaIndicators!T30+FinaIndicators!T35),"")</f>
        <v>3187.6691995884785</v>
      </c>
      <c r="U13" s="3">
        <f>IF(U10&lt;&gt;"",-(FinaIndicators!U30+FinaIndicators!U35),"")</f>
        <v>3181.8607878088137</v>
      </c>
      <c r="V13" s="3">
        <f>IF(V10&lt;&gt;"",-(FinaIndicators!V30+FinaIndicators!V35),"")</f>
        <v>3176.1104601469456</v>
      </c>
      <c r="W13" s="3">
        <f>IF(W10&lt;&gt;"",-(FinaIndicators!W30+FinaIndicators!W35),"")</f>
        <v>3170.4176357616957</v>
      </c>
      <c r="X13" s="3">
        <f>IF(X10&lt;&gt;"",-(FinaIndicators!X30+FinaIndicators!X35),"")</f>
        <v>3164.781739620299</v>
      </c>
      <c r="Y13" s="3">
        <f>IF(Y10&lt;&gt;"",-(FinaIndicators!Y30+FinaIndicators!Y35),"")</f>
        <v>3159.2022024403159</v>
      </c>
    </row>
    <row r="14" spans="1:28" x14ac:dyDescent="0.25">
      <c r="A14" s="63" t="s">
        <v>37</v>
      </c>
      <c r="B14" s="63"/>
      <c r="C14" s="63"/>
      <c r="D14" s="63"/>
      <c r="E14" s="3"/>
      <c r="F14" s="3">
        <f t="shared" ref="F14:Y14" si="0">IF(F10&lt;&gt;"",F12+F13,"")</f>
        <v>27987.727457836671</v>
      </c>
      <c r="G14" s="3">
        <f t="shared" si="0"/>
        <v>5481.0414839945042</v>
      </c>
      <c r="H14" s="3">
        <f t="shared" si="0"/>
        <v>5474.422369890759</v>
      </c>
      <c r="I14" s="3">
        <f t="shared" si="0"/>
        <v>5467.8694469280526</v>
      </c>
      <c r="J14" s="3">
        <f t="shared" si="0"/>
        <v>5461.3820531949714</v>
      </c>
      <c r="K14" s="3">
        <f t="shared" si="0"/>
        <v>5454.9595333992229</v>
      </c>
      <c r="L14" s="3">
        <f t="shared" si="0"/>
        <v>5448.6012388014315</v>
      </c>
      <c r="M14" s="3">
        <f t="shared" si="0"/>
        <v>5442.3065271496171</v>
      </c>
      <c r="N14" s="3">
        <f t="shared" si="0"/>
        <v>5436.0747626143211</v>
      </c>
      <c r="O14" s="3">
        <f t="shared" si="0"/>
        <v>5429.9053157243779</v>
      </c>
      <c r="P14" s="3">
        <f t="shared" si="0"/>
        <v>3211.4955113052843</v>
      </c>
      <c r="Q14" s="3">
        <f t="shared" si="0"/>
        <v>3205.4488364084514</v>
      </c>
      <c r="R14" s="3">
        <f t="shared" si="0"/>
        <v>3199.4626282605868</v>
      </c>
      <c r="S14" s="3">
        <f t="shared" si="0"/>
        <v>3193.5362821942008</v>
      </c>
      <c r="T14" s="3">
        <f t="shared" si="0"/>
        <v>3187.6691995884785</v>
      </c>
      <c r="U14" s="3">
        <f t="shared" si="0"/>
        <v>3181.8607878088137</v>
      </c>
      <c r="V14" s="3">
        <f t="shared" si="0"/>
        <v>3176.1104601469456</v>
      </c>
      <c r="W14" s="3">
        <f t="shared" si="0"/>
        <v>3170.4176357616957</v>
      </c>
      <c r="X14" s="3">
        <f t="shared" si="0"/>
        <v>3164.781739620299</v>
      </c>
      <c r="Y14" s="3">
        <f t="shared" si="0"/>
        <v>3159.2022024403159</v>
      </c>
    </row>
    <row r="15" spans="1:28" x14ac:dyDescent="0.25">
      <c r="A15" s="67"/>
      <c r="B15" s="67"/>
      <c r="C15" s="67"/>
      <c r="D15" s="67"/>
    </row>
    <row r="16" spans="1:28" x14ac:dyDescent="0.25">
      <c r="A16" s="63" t="s">
        <v>47</v>
      </c>
      <c r="B16" s="63"/>
      <c r="C16" s="63"/>
      <c r="D16" s="63"/>
      <c r="F16" s="3">
        <f>IF(F10&lt;&gt;"",FinaIndicators!F14,"")</f>
        <v>22</v>
      </c>
      <c r="G16" s="3">
        <f>IF(G10&lt;&gt;"",FinaIndicators!G14,"")</f>
        <v>21.78</v>
      </c>
      <c r="H16" s="3">
        <f>IF(H10&lt;&gt;"",FinaIndicators!H14,"")</f>
        <v>21.562200000000001</v>
      </c>
      <c r="I16" s="3">
        <f>IF(I10&lt;&gt;"",FinaIndicators!I14,"")</f>
        <v>21.346577999999997</v>
      </c>
      <c r="J16" s="3">
        <f>IF(J10&lt;&gt;"",FinaIndicators!J14,"")</f>
        <v>21.133112219999997</v>
      </c>
      <c r="K16" s="3">
        <f>IF(K10&lt;&gt;"",FinaIndicators!K14,"")</f>
        <v>20.921781097799997</v>
      </c>
      <c r="L16" s="3">
        <f>IF(L10&lt;&gt;"",FinaIndicators!L14,"")</f>
        <v>20.712563286821997</v>
      </c>
      <c r="M16" s="3">
        <f>IF(M10&lt;&gt;"",FinaIndicators!M14,"")</f>
        <v>20.505437653953777</v>
      </c>
      <c r="N16" s="3">
        <f>IF(N10&lt;&gt;"",FinaIndicators!N14,"")</f>
        <v>20.300383277414237</v>
      </c>
      <c r="O16" s="3">
        <f>IF(O10&lt;&gt;"",FinaIndicators!O14,"")</f>
        <v>20.097379444640097</v>
      </c>
      <c r="P16" s="3">
        <f>IF(P10&lt;&gt;"",FinaIndicators!P14,"")</f>
        <v>19.896405650193696</v>
      </c>
      <c r="Q16" s="3">
        <f>IF(Q10&lt;&gt;"",FinaIndicators!Q14,"")</f>
        <v>19.697441593691757</v>
      </c>
      <c r="R16" s="3">
        <f>IF(R10&lt;&gt;"",FinaIndicators!R14,"")</f>
        <v>19.500467177754842</v>
      </c>
      <c r="S16" s="3">
        <f>IF(S10&lt;&gt;"",FinaIndicators!S14,"")</f>
        <v>19.305462505977289</v>
      </c>
      <c r="T16" s="3">
        <f>IF(T10&lt;&gt;"",FinaIndicators!T14,"")</f>
        <v>19.11240788091752</v>
      </c>
      <c r="U16" s="3">
        <f>IF(U10&lt;&gt;"",FinaIndicators!U14,"")</f>
        <v>18.921283802108341</v>
      </c>
      <c r="V16" s="3">
        <f>IF(V10&lt;&gt;"",FinaIndicators!V14,"")</f>
        <v>18.73207096408726</v>
      </c>
      <c r="W16" s="3">
        <f>IF(W10&lt;&gt;"",FinaIndicators!W14,"")</f>
        <v>18.544750254446384</v>
      </c>
      <c r="X16" s="3">
        <f>IF(X10&lt;&gt;"",FinaIndicators!X14,"")</f>
        <v>18.359302751901922</v>
      </c>
      <c r="Y16" s="3">
        <f>IF(Y10&lt;&gt;"",FinaIndicators!Y14,"")</f>
        <v>18.175709724382902</v>
      </c>
    </row>
    <row r="17" spans="1:25" ht="18" x14ac:dyDescent="0.35">
      <c r="A17" s="63" t="s">
        <v>38</v>
      </c>
      <c r="B17" s="63"/>
      <c r="C17" s="63"/>
      <c r="D17" s="63"/>
      <c r="F17" s="3">
        <f>IF(F10&lt;&gt;"",'FinInd+CO2'!F15,"")</f>
        <v>3.8463333333333334</v>
      </c>
      <c r="G17" s="3">
        <f>IF(G10&lt;&gt;"",'FinInd+CO2'!G15,"")</f>
        <v>3.8078700000000003</v>
      </c>
      <c r="H17" s="3">
        <f>IF(H10&lt;&gt;"",'FinInd+CO2'!H15,"")</f>
        <v>3.7697913000000001</v>
      </c>
      <c r="I17" s="3">
        <f>IF(I10&lt;&gt;"",'FinInd+CO2'!I15,"")</f>
        <v>3.7320933869999995</v>
      </c>
      <c r="J17" s="3">
        <f>IF(J10&lt;&gt;"",'FinInd+CO2'!J15,"")</f>
        <v>3.6947724531299997</v>
      </c>
      <c r="K17" s="3">
        <f>IF(K10&lt;&gt;"",'FinInd+CO2'!K15,"")</f>
        <v>3.6578247285986998</v>
      </c>
      <c r="L17" s="3">
        <f>IF(L10&lt;&gt;"",'FinInd+CO2'!L15,"")</f>
        <v>3.6212464813127125</v>
      </c>
      <c r="M17" s="3">
        <f>IF(M10&lt;&gt;"",'FinInd+CO2'!M15,"")</f>
        <v>3.5850340164995855</v>
      </c>
      <c r="N17" s="3">
        <f>IF(N10&lt;&gt;"",'FinInd+CO2'!N15,"")</f>
        <v>3.5491836763345894</v>
      </c>
      <c r="O17" s="3">
        <f>IF(O10&lt;&gt;"",'FinInd+CO2'!O15,"")</f>
        <v>3.5136918395712438</v>
      </c>
      <c r="P17" s="3">
        <f>IF(P10&lt;&gt;"",'FinInd+CO2'!P15,"")</f>
        <v>3.4785549211755313</v>
      </c>
      <c r="Q17" s="3">
        <f>IF(Q10&lt;&gt;"",'FinInd+CO2'!Q15,"")</f>
        <v>3.4437693719637754</v>
      </c>
      <c r="R17" s="3">
        <f>IF(R10&lt;&gt;"",'FinInd+CO2'!R15,"")</f>
        <v>3.4093316782441385</v>
      </c>
      <c r="S17" s="3">
        <f>IF(S10&lt;&gt;"",'FinInd+CO2'!S15,"")</f>
        <v>3.3752383614616961</v>
      </c>
      <c r="T17" s="3">
        <f>IF(T10&lt;&gt;"",'FinInd+CO2'!T15,"")</f>
        <v>3.3414859778470798</v>
      </c>
      <c r="U17" s="3">
        <f>IF(U10&lt;&gt;"",'FinInd+CO2'!U15,"")</f>
        <v>3.3080711180686087</v>
      </c>
      <c r="V17" s="3">
        <f>IF(V10&lt;&gt;"",'FinInd+CO2'!V15,"")</f>
        <v>3.2749904068879228</v>
      </c>
      <c r="W17" s="3">
        <f>IF(W10&lt;&gt;"",'FinInd+CO2'!W15,"")</f>
        <v>3.2422405028190431</v>
      </c>
      <c r="X17" s="3">
        <f>IF(X10&lt;&gt;"",'FinInd+CO2'!X15,"")</f>
        <v>3.2098180977908526</v>
      </c>
      <c r="Y17" s="3">
        <f>IF(Y10&lt;&gt;"",'FinInd+CO2'!Y15,"")</f>
        <v>3.177719916812944</v>
      </c>
    </row>
    <row r="19" spans="1:25" x14ac:dyDescent="0.25">
      <c r="A19" s="61" t="s">
        <v>48</v>
      </c>
      <c r="B19" s="61"/>
      <c r="C19" s="61"/>
      <c r="D19" s="61"/>
      <c r="E19" s="3">
        <f>NPV(UnosPodataka!M19,LCoEE!F14:Y14)/NPV(UnosPodataka!M19,LCoEE!F16:Y16)</f>
        <v>318.29933162359214</v>
      </c>
    </row>
    <row r="20" spans="1:25" ht="18" x14ac:dyDescent="0.35">
      <c r="A20" s="61" t="s">
        <v>39</v>
      </c>
      <c r="B20" s="61"/>
      <c r="C20" s="61"/>
      <c r="D20" s="61"/>
      <c r="E20" s="24">
        <f>IF(F17&lt;0,"-",NPV(UnosPodataka!M19,LCoEE!F14:Y14)/NPV(UnosPodataka!M19,LCoEE!F17:Y17))</f>
        <v>1820.5872161501932</v>
      </c>
    </row>
    <row r="21" spans="1:25" x14ac:dyDescent="0.25">
      <c r="E21" s="6"/>
    </row>
  </sheetData>
  <sheetProtection selectLockedCells="1"/>
  <mergeCells count="13">
    <mergeCell ref="A20:D20"/>
    <mergeCell ref="A7:D8"/>
    <mergeCell ref="A10:D10"/>
    <mergeCell ref="A12:D12"/>
    <mergeCell ref="A13:D13"/>
    <mergeCell ref="A14:D14"/>
    <mergeCell ref="A15:D15"/>
    <mergeCell ref="N7:O8"/>
    <mergeCell ref="A16:D16"/>
    <mergeCell ref="A17:D17"/>
    <mergeCell ref="A19:D19"/>
    <mergeCell ref="F3:I3"/>
    <mergeCell ref="I7:J8"/>
  </mergeCells>
  <hyperlinks>
    <hyperlink ref="I7:J8" location="GraphEcon!A5" display="NAZAD"/>
    <hyperlink ref="N7:O8" location="SALCoEE!A1" display="DALJE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T34"/>
  <sheetViews>
    <sheetView topLeftCell="A3" workbookViewId="0">
      <selection activeCell="H10" sqref="H10"/>
    </sheetView>
  </sheetViews>
  <sheetFormatPr defaultRowHeight="15" x14ac:dyDescent="0.25"/>
  <cols>
    <col min="1" max="1" width="12.140625" customWidth="1"/>
    <col min="2" max="2" width="11.42578125" customWidth="1"/>
    <col min="4" max="4" width="11.28515625" customWidth="1"/>
    <col min="20" max="20" width="0" hidden="1" customWidth="1"/>
  </cols>
  <sheetData>
    <row r="3" spans="1:20" ht="16.5" x14ac:dyDescent="0.35">
      <c r="F3" s="52" t="s">
        <v>136</v>
      </c>
      <c r="G3" s="52"/>
      <c r="H3" s="52"/>
      <c r="I3" s="52"/>
    </row>
    <row r="7" spans="1:20" ht="21" x14ac:dyDescent="0.35">
      <c r="A7" s="59" t="s">
        <v>40</v>
      </c>
      <c r="B7" s="59"/>
      <c r="C7" s="59"/>
      <c r="D7" s="59"/>
    </row>
    <row r="8" spans="1:20" ht="15.75" thickBot="1" x14ac:dyDescent="0.3"/>
    <row r="9" spans="1:20" ht="15.75" thickBot="1" x14ac:dyDescent="0.3">
      <c r="B9" s="37" t="s">
        <v>176</v>
      </c>
      <c r="C9" s="38"/>
      <c r="D9" s="37" t="s">
        <v>177</v>
      </c>
      <c r="E9" s="38"/>
    </row>
    <row r="10" spans="1:20" ht="15.75" thickBot="1" x14ac:dyDescent="0.3">
      <c r="B10" s="39" t="s">
        <v>178</v>
      </c>
      <c r="C10" s="39" t="s">
        <v>179</v>
      </c>
      <c r="D10" s="39" t="s">
        <v>178</v>
      </c>
      <c r="E10" s="39" t="s">
        <v>179</v>
      </c>
    </row>
    <row r="11" spans="1:20" x14ac:dyDescent="0.25">
      <c r="T11" s="40" t="s">
        <v>184</v>
      </c>
    </row>
    <row r="12" spans="1:20" x14ac:dyDescent="0.25">
      <c r="A12" s="40" t="s">
        <v>180</v>
      </c>
      <c r="B12" s="41">
        <v>-24277.385905733041</v>
      </c>
      <c r="C12" s="42">
        <v>-8.2830235111716943E-2</v>
      </c>
      <c r="D12" s="41">
        <v>-9948.1709246289229</v>
      </c>
      <c r="E12" s="7">
        <v>2.2797587659941998E-2</v>
      </c>
      <c r="T12" s="40" t="s">
        <v>185</v>
      </c>
    </row>
    <row r="13" spans="1:20" x14ac:dyDescent="0.25">
      <c r="B13" s="41"/>
      <c r="D13" s="41"/>
    </row>
    <row r="14" spans="1:20" x14ac:dyDescent="0.25">
      <c r="A14" s="40" t="s">
        <v>94</v>
      </c>
      <c r="B14" s="41"/>
      <c r="D14" s="41"/>
    </row>
    <row r="15" spans="1:20" x14ac:dyDescent="0.25">
      <c r="A15" s="21">
        <v>0.1</v>
      </c>
      <c r="B15" s="41">
        <v>-22494.014917812561</v>
      </c>
      <c r="C15" s="42">
        <v>-6.5949638922964349E-2</v>
      </c>
      <c r="D15" s="41">
        <v>-8380.5769808138957</v>
      </c>
      <c r="E15" s="7">
        <v>3.1895245438612108E-2</v>
      </c>
    </row>
    <row r="16" spans="1:20" x14ac:dyDescent="0.25">
      <c r="A16" s="21">
        <v>-0.1</v>
      </c>
      <c r="B16" s="41">
        <v>-26060.756893653524</v>
      </c>
      <c r="C16" s="42">
        <v>-0.1019877549638466</v>
      </c>
      <c r="D16" s="41">
        <v>-11553.344662668967</v>
      </c>
      <c r="E16" s="7">
        <v>1.3345336639815519E-2</v>
      </c>
    </row>
    <row r="17" spans="1:5" x14ac:dyDescent="0.25">
      <c r="A17" s="6" t="s">
        <v>181</v>
      </c>
      <c r="B17" s="42">
        <v>1.5431999999999999</v>
      </c>
      <c r="C17" s="42"/>
      <c r="D17" s="42">
        <v>0.72499999999999998</v>
      </c>
      <c r="E17" s="7"/>
    </row>
    <row r="18" spans="1:5" x14ac:dyDescent="0.25">
      <c r="B18" s="41"/>
      <c r="D18" s="41"/>
    </row>
    <row r="19" spans="1:5" x14ac:dyDescent="0.25">
      <c r="A19" s="40" t="s">
        <v>183</v>
      </c>
      <c r="B19" s="41"/>
      <c r="D19" s="41"/>
    </row>
    <row r="20" spans="1:5" x14ac:dyDescent="0.25">
      <c r="A20" s="21">
        <v>0.1</v>
      </c>
      <c r="B20" s="41"/>
      <c r="C20" s="42"/>
      <c r="D20" s="41">
        <v>-8661.224749867215</v>
      </c>
      <c r="E20" s="7">
        <v>3.027298999159389E-2</v>
      </c>
    </row>
    <row r="21" spans="1:5" x14ac:dyDescent="0.25">
      <c r="A21" s="21">
        <v>-0.1</v>
      </c>
      <c r="B21" s="41"/>
      <c r="C21" s="42"/>
      <c r="D21" s="41">
        <v>-11258.181109406094</v>
      </c>
      <c r="E21" s="7">
        <v>1.5108290752705145E-2</v>
      </c>
    </row>
    <row r="22" spans="1:5" x14ac:dyDescent="0.25">
      <c r="A22" s="6" t="s">
        <v>181</v>
      </c>
      <c r="B22" s="42"/>
      <c r="C22" s="42"/>
      <c r="D22" s="42">
        <v>0.8859999999999999</v>
      </c>
      <c r="E22" s="7"/>
    </row>
    <row r="23" spans="1:5" x14ac:dyDescent="0.25">
      <c r="B23" s="41"/>
      <c r="D23" s="41"/>
    </row>
    <row r="24" spans="1:5" x14ac:dyDescent="0.25">
      <c r="A24" s="40" t="s">
        <v>182</v>
      </c>
      <c r="B24" s="43"/>
      <c r="C24" s="42"/>
      <c r="D24" s="43"/>
      <c r="E24" s="7"/>
    </row>
    <row r="25" spans="1:5" x14ac:dyDescent="0.25">
      <c r="A25" s="21">
        <v>0.1</v>
      </c>
      <c r="B25" s="41">
        <v>-28939.705133374249</v>
      </c>
      <c r="C25" s="42">
        <v>-9.9032333386735338E-2</v>
      </c>
      <c r="D25" s="41">
        <v>-14815.2106291856</v>
      </c>
      <c r="E25" s="7">
        <v>4.6808732146705889E-3</v>
      </c>
    </row>
    <row r="26" spans="1:5" x14ac:dyDescent="0.25">
      <c r="A26" s="21">
        <v>-0.1</v>
      </c>
      <c r="B26" s="41">
        <v>-19477.470590565546</v>
      </c>
      <c r="C26" s="42">
        <v>-6.3932857353560135E-2</v>
      </c>
      <c r="D26" s="41">
        <v>-4985.3908485072188</v>
      </c>
      <c r="E26" s="7">
        <v>4.4217908442546916E-2</v>
      </c>
    </row>
    <row r="27" spans="1:5" x14ac:dyDescent="0.25">
      <c r="A27" s="6" t="s">
        <v>181</v>
      </c>
      <c r="B27" s="42">
        <v>-0.45020000000000004</v>
      </c>
      <c r="C27" s="42"/>
      <c r="D27" s="42">
        <v>-0.20399999999999996</v>
      </c>
      <c r="E27" s="7"/>
    </row>
    <row r="30" spans="1:5" x14ac:dyDescent="0.25">
      <c r="A30" s="56" t="s">
        <v>114</v>
      </c>
      <c r="B30" s="56"/>
      <c r="D30" s="57" t="s">
        <v>115</v>
      </c>
      <c r="E30" s="57"/>
    </row>
    <row r="31" spans="1:5" x14ac:dyDescent="0.25">
      <c r="A31" s="56"/>
      <c r="B31" s="56"/>
      <c r="D31" s="57"/>
      <c r="E31" s="57"/>
    </row>
    <row r="34" spans="2:5" x14ac:dyDescent="0.25">
      <c r="B34" s="41">
        <f>+FinaIndicators!$E$45</f>
        <v>-24277.385905733041</v>
      </c>
      <c r="C34" s="42">
        <f>+FinaIndicators!$E$46</f>
        <v>-8.2830235111716943E-2</v>
      </c>
      <c r="D34" s="41">
        <f>+'FinInd+CO2'!$E$47</f>
        <v>-21088.432865104562</v>
      </c>
      <c r="E34" s="7">
        <f>+'FinInd+CO2'!$E$48</f>
        <v>-5.3811016807566503E-2</v>
      </c>
    </row>
  </sheetData>
  <sheetProtection selectLockedCells="1" selectUnlockedCells="1"/>
  <mergeCells count="4">
    <mergeCell ref="F3:I3"/>
    <mergeCell ref="A30:B31"/>
    <mergeCell ref="D30:E31"/>
    <mergeCell ref="A7:D7"/>
  </mergeCells>
  <hyperlinks>
    <hyperlink ref="A30:B31" location="LCoEE!I1" display="NAZAD"/>
    <hyperlink ref="D30:E31" location="AkoESCO!A1" display="AkoESCO!A1"/>
  </hyperlink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Y16"/>
  <sheetViews>
    <sheetView workbookViewId="0">
      <selection activeCell="I15" sqref="I15"/>
    </sheetView>
  </sheetViews>
  <sheetFormatPr defaultRowHeight="15" x14ac:dyDescent="0.25"/>
  <cols>
    <col min="5" max="5" width="10.7109375" customWidth="1"/>
  </cols>
  <sheetData>
    <row r="3" spans="1:25" ht="16.5" x14ac:dyDescent="0.35">
      <c r="F3" s="52" t="s">
        <v>136</v>
      </c>
      <c r="G3" s="52"/>
      <c r="H3" s="52"/>
      <c r="I3" s="52"/>
    </row>
    <row r="7" spans="1:25" x14ac:dyDescent="0.25">
      <c r="A7" s="54" t="s">
        <v>117</v>
      </c>
      <c r="B7" s="54"/>
      <c r="C7" s="54"/>
      <c r="D7" s="54"/>
      <c r="I7" s="56" t="s">
        <v>114</v>
      </c>
      <c r="J7" s="56"/>
      <c r="N7" s="57" t="s">
        <v>115</v>
      </c>
      <c r="O7" s="57"/>
    </row>
    <row r="8" spans="1:25" x14ac:dyDescent="0.25">
      <c r="A8" s="54"/>
      <c r="B8" s="54"/>
      <c r="C8" s="54"/>
      <c r="D8" s="54"/>
      <c r="I8" s="56"/>
      <c r="J8" s="56"/>
      <c r="N8" s="57"/>
      <c r="O8" s="57"/>
    </row>
    <row r="10" spans="1:25" x14ac:dyDescent="0.25">
      <c r="A10" s="61" t="s">
        <v>118</v>
      </c>
      <c r="B10" s="61"/>
      <c r="C10" s="61"/>
      <c r="D10" s="61"/>
      <c r="E10" s="18"/>
      <c r="F10" s="18">
        <f>IF(E10&lt;UnosPodataka!$M$25,E10+1,"")</f>
        <v>1</v>
      </c>
      <c r="G10" s="18">
        <f>IF(F10&lt;UnosPodataka!$M$25,F10+1,"")</f>
        <v>2</v>
      </c>
      <c r="H10" s="18">
        <f>IF(G10&lt;UnosPodataka!$M$25,G10+1,"")</f>
        <v>3</v>
      </c>
      <c r="I10" s="18">
        <f>IF(H10&lt;UnosPodataka!$M$25,H10+1,"")</f>
        <v>4</v>
      </c>
      <c r="J10" s="18">
        <f>IF(I10&lt;UnosPodataka!$M$25,I10+1,"")</f>
        <v>5</v>
      </c>
      <c r="K10" s="18">
        <f>IF(J10&lt;UnosPodataka!$M$25,J10+1,"")</f>
        <v>6</v>
      </c>
      <c r="L10" s="18">
        <f>IF(K10&lt;UnosPodataka!$M$25,K10+1,"")</f>
        <v>7</v>
      </c>
      <c r="M10" s="18">
        <f>IF(L10&lt;UnosPodataka!$M$25,L10+1,"")</f>
        <v>8</v>
      </c>
      <c r="N10" s="18">
        <f>IF(M10&lt;UnosPodataka!$M$25,M10+1,"")</f>
        <v>9</v>
      </c>
      <c r="O10" s="18">
        <f>IF(N10&lt;UnosPodataka!$M$25,N10+1,"")</f>
        <v>10</v>
      </c>
      <c r="P10" s="18">
        <f>IF(O10&lt;UnosPodataka!$M$25,O10+1,"")</f>
        <v>11</v>
      </c>
      <c r="Q10" s="18">
        <f>IF(P10&lt;UnosPodataka!$M$25,P10+1,"")</f>
        <v>12</v>
      </c>
      <c r="R10" s="18">
        <f>IF(Q10&lt;UnosPodataka!$M$25,Q10+1,"")</f>
        <v>13</v>
      </c>
      <c r="S10" s="18">
        <f>IF(R10&lt;UnosPodataka!$M$25,R10+1,"")</f>
        <v>14</v>
      </c>
      <c r="T10" s="18">
        <f>IF(S10&lt;UnosPodataka!$M$25,S10+1,"")</f>
        <v>15</v>
      </c>
      <c r="U10" s="18">
        <f>IF(T10&lt;UnosPodataka!$M$25,T10+1,"")</f>
        <v>16</v>
      </c>
      <c r="V10" s="18">
        <f>IF(U10&lt;UnosPodataka!$M$25,U10+1,"")</f>
        <v>17</v>
      </c>
      <c r="W10" s="18">
        <f>IF(V10&lt;UnosPodataka!$M$25,V10+1,"")</f>
        <v>18</v>
      </c>
      <c r="X10" s="18">
        <f>IF(W10&lt;UnosPodataka!$M$25,W10+1,"")</f>
        <v>19</v>
      </c>
      <c r="Y10" s="18">
        <f>IF(X10&lt;UnosPodataka!$M$25,X10+1,"")</f>
        <v>20</v>
      </c>
    </row>
    <row r="12" spans="1:25" x14ac:dyDescent="0.25">
      <c r="A12" s="63" t="s">
        <v>119</v>
      </c>
      <c r="B12" s="63"/>
      <c r="C12" s="63"/>
      <c r="D12" s="63"/>
      <c r="E12" s="3">
        <v>0</v>
      </c>
      <c r="F12" s="3">
        <f>-FinaIndicators!F29</f>
        <v>0</v>
      </c>
      <c r="G12" s="3">
        <f>-FinaIndicators!G29</f>
        <v>0</v>
      </c>
      <c r="H12" s="3">
        <f>-FinaIndicators!H29</f>
        <v>0</v>
      </c>
      <c r="I12" s="3">
        <f>-FinaIndicators!I29</f>
        <v>0</v>
      </c>
      <c r="J12" s="3">
        <f>-FinaIndicators!J29</f>
        <v>0</v>
      </c>
      <c r="K12" s="3">
        <f>-FinaIndicators!K29</f>
        <v>0</v>
      </c>
      <c r="L12" s="3">
        <f>-FinaIndicators!L29</f>
        <v>0</v>
      </c>
      <c r="M12" s="3">
        <f>-FinaIndicators!M29</f>
        <v>0</v>
      </c>
      <c r="N12" s="3">
        <f>-FinaIndicators!N29</f>
        <v>0</v>
      </c>
      <c r="O12" s="3">
        <f>-FinaIndicators!O29</f>
        <v>0</v>
      </c>
      <c r="P12" s="3">
        <f>-FinaIndicators!P29</f>
        <v>0</v>
      </c>
      <c r="Q12" s="3">
        <f>-FinaIndicators!Q29</f>
        <v>0</v>
      </c>
      <c r="R12" s="3">
        <f>-FinaIndicators!R29</f>
        <v>0</v>
      </c>
      <c r="S12" s="3">
        <f>-FinaIndicators!S29</f>
        <v>0</v>
      </c>
      <c r="T12" s="3">
        <f>-FinaIndicators!T29</f>
        <v>0</v>
      </c>
      <c r="U12" s="3">
        <f>-FinaIndicators!U29</f>
        <v>0</v>
      </c>
      <c r="V12" s="3">
        <f>-FinaIndicators!V29</f>
        <v>0</v>
      </c>
      <c r="W12" s="3">
        <f>-FinaIndicators!W29</f>
        <v>0</v>
      </c>
      <c r="X12" s="3">
        <f>-FinaIndicators!X29</f>
        <v>0</v>
      </c>
      <c r="Y12" s="3">
        <f>-FinaIndicators!Y29</f>
        <v>0</v>
      </c>
    </row>
    <row r="13" spans="1:25" x14ac:dyDescent="0.25">
      <c r="A13" s="63" t="s">
        <v>120</v>
      </c>
      <c r="B13" s="63"/>
      <c r="C13" s="63"/>
      <c r="D13" s="63"/>
      <c r="E13" s="3">
        <v>0</v>
      </c>
      <c r="F13" s="3">
        <f>IF(F10&lt;&gt;0,F12*(1+UnosPodataka!$M$19)^(-F10),"")</f>
        <v>0</v>
      </c>
      <c r="G13" s="3">
        <f>IF(G10&lt;&gt;0,G12*(1+UnosPodataka!$M$19)^(-G10),"")</f>
        <v>0</v>
      </c>
      <c r="H13" s="3">
        <f>IF(H10&lt;&gt;0,H12*(1+UnosPodataka!$M$19)^(-H10),"")</f>
        <v>0</v>
      </c>
      <c r="I13" s="3">
        <f>IF(I10&lt;&gt;0,I12*(1+UnosPodataka!$M$19)^(-I10),"")</f>
        <v>0</v>
      </c>
      <c r="J13" s="3">
        <f>IF(J10&lt;&gt;0,J12*(1+UnosPodataka!$M$19)^(-J10),"")</f>
        <v>0</v>
      </c>
      <c r="K13" s="3">
        <f>IF(K10&lt;&gt;0,K12*(1+UnosPodataka!$M$19)^(-K10),"")</f>
        <v>0</v>
      </c>
      <c r="L13" s="3">
        <f>IF(L10&lt;&gt;0,L12*(1+UnosPodataka!$M$19)^(-L10),"")</f>
        <v>0</v>
      </c>
      <c r="M13" s="3">
        <f>IF(M10&lt;&gt;0,M12*(1+UnosPodataka!$M$19)^(-M10),"")</f>
        <v>0</v>
      </c>
      <c r="N13" s="3">
        <f>IF(N10&lt;&gt;0,N12*(1+UnosPodataka!$M$19)^(-N10),"")</f>
        <v>0</v>
      </c>
      <c r="O13" s="3">
        <f>IF(O10&lt;&gt;0,O12*(1+UnosPodataka!$M$19)^(-O10),"")</f>
        <v>0</v>
      </c>
      <c r="P13" s="3">
        <f>IF(P10&lt;&gt;0,P12*(1+UnosPodataka!$M$19)^(-P10),"")</f>
        <v>0</v>
      </c>
      <c r="Q13" s="3">
        <f>IF(Q10&lt;&gt;0,Q12*(1+UnosPodataka!$M$19)^(-Q10),"")</f>
        <v>0</v>
      </c>
      <c r="R13" s="3">
        <f>IF(R10&lt;&gt;0,R12*(1+UnosPodataka!$M$19)^(-R10),"")</f>
        <v>0</v>
      </c>
      <c r="S13" s="3">
        <f>IF(S10&lt;&gt;0,S12*(1+UnosPodataka!$M$19)^(-S10),"")</f>
        <v>0</v>
      </c>
      <c r="T13" s="3">
        <f>IF(T10&lt;&gt;0,T12*(1+UnosPodataka!$M$19)^(-T10),"")</f>
        <v>0</v>
      </c>
      <c r="U13" s="3">
        <f>IF(U10&lt;&gt;0,U12*(1+UnosPodataka!$M$19)^(-U10),"")</f>
        <v>0</v>
      </c>
      <c r="V13" s="3">
        <f>IF(V10&lt;&gt;0,V12*(1+UnosPodataka!$M$19)^(-V10),"")</f>
        <v>0</v>
      </c>
      <c r="W13" s="3">
        <f>IF(W10&lt;&gt;0,W12*(1+UnosPodataka!$M$19)^(-W10),"")</f>
        <v>0</v>
      </c>
      <c r="X13" s="3">
        <f>IF(X10&lt;&gt;0,X12*(1+UnosPodataka!$M$19)^(-X10),"")</f>
        <v>0</v>
      </c>
      <c r="Y13" s="3">
        <f>IF(Y10&lt;&gt;0,Y12*(1+UnosPodataka!$M$19)^(-Y10),"")</f>
        <v>0</v>
      </c>
    </row>
    <row r="15" spans="1:25" x14ac:dyDescent="0.25">
      <c r="A15" s="74" t="s">
        <v>30</v>
      </c>
      <c r="B15" s="74"/>
      <c r="C15" s="74"/>
      <c r="D15" s="74"/>
      <c r="E15" s="20">
        <f>NPV(UnosPodataka!M19,AkoESCO!F12:Y12)</f>
        <v>0</v>
      </c>
    </row>
    <row r="16" spans="1:25" x14ac:dyDescent="0.25">
      <c r="A16" s="74" t="s">
        <v>31</v>
      </c>
      <c r="B16" s="74"/>
      <c r="C16" s="74"/>
      <c r="D16" s="74"/>
      <c r="E16" s="6" t="s">
        <v>121</v>
      </c>
    </row>
  </sheetData>
  <mergeCells count="9">
    <mergeCell ref="F3:I3"/>
    <mergeCell ref="A13:D13"/>
    <mergeCell ref="A15:D15"/>
    <mergeCell ref="A16:D16"/>
    <mergeCell ref="I7:J8"/>
    <mergeCell ref="N7:O8"/>
    <mergeCell ref="A7:D8"/>
    <mergeCell ref="A10:D10"/>
    <mergeCell ref="A12:D12"/>
  </mergeCells>
  <hyperlinks>
    <hyperlink ref="I7:J8" location="SALCoEE!A10" display="NAZAD"/>
    <hyperlink ref="N7:O8" location="ESCOGrafFina!A1" display="DALJE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I4" sqref="I4"/>
    </sheetView>
  </sheetViews>
  <sheetFormatPr defaultRowHeight="15" x14ac:dyDescent="0.25"/>
  <sheetData>
    <row r="3" spans="1:9" ht="16.5" x14ac:dyDescent="0.35">
      <c r="F3" s="52" t="s">
        <v>136</v>
      </c>
      <c r="G3" s="52"/>
      <c r="H3" s="52"/>
      <c r="I3" s="52"/>
    </row>
    <row r="7" spans="1:9" x14ac:dyDescent="0.25">
      <c r="A7" s="54" t="s">
        <v>122</v>
      </c>
      <c r="B7" s="54"/>
      <c r="C7" s="54"/>
      <c r="D7" s="54"/>
    </row>
    <row r="8" spans="1:9" x14ac:dyDescent="0.25">
      <c r="A8" s="54"/>
      <c r="B8" s="54"/>
      <c r="C8" s="54"/>
      <c r="D8" s="54"/>
    </row>
    <row r="9" spans="1:9" x14ac:dyDescent="0.25">
      <c r="A9" s="54"/>
      <c r="B9" s="54"/>
      <c r="C9" s="54"/>
      <c r="D9" s="54"/>
    </row>
    <row r="11" spans="1:9" x14ac:dyDescent="0.25">
      <c r="A11" s="56" t="s">
        <v>114</v>
      </c>
      <c r="B11" s="56"/>
      <c r="D11" s="57" t="s">
        <v>115</v>
      </c>
      <c r="E11" s="57"/>
    </row>
    <row r="12" spans="1:9" x14ac:dyDescent="0.25">
      <c r="A12" s="56"/>
      <c r="B12" s="56"/>
      <c r="D12" s="57"/>
      <c r="E12" s="57"/>
    </row>
  </sheetData>
  <mergeCells count="4">
    <mergeCell ref="A7:D9"/>
    <mergeCell ref="A11:B12"/>
    <mergeCell ref="D11:E12"/>
    <mergeCell ref="F3:I3"/>
  </mergeCells>
  <hyperlinks>
    <hyperlink ref="A11:B12" location="AkoESCO!I1" display="NAZAD"/>
    <hyperlink ref="D11:E12" location="'REZIME PROJEKTA'!A1" display="DALJE"/>
  </hyperlink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1"/>
  <sheetViews>
    <sheetView tabSelected="1" workbookViewId="0">
      <selection activeCell="O24" sqref="O24"/>
    </sheetView>
  </sheetViews>
  <sheetFormatPr defaultRowHeight="15" x14ac:dyDescent="0.25"/>
  <sheetData>
    <row r="3" spans="1:9" ht="16.5" x14ac:dyDescent="0.35">
      <c r="F3" s="52" t="s">
        <v>136</v>
      </c>
      <c r="G3" s="52"/>
      <c r="H3" s="52"/>
      <c r="I3" s="52"/>
    </row>
    <row r="7" spans="1:9" x14ac:dyDescent="0.25">
      <c r="A7" s="54" t="s">
        <v>123</v>
      </c>
      <c r="B7" s="54"/>
      <c r="C7" s="54"/>
      <c r="D7" s="54"/>
    </row>
    <row r="8" spans="1:9" x14ac:dyDescent="0.25">
      <c r="A8" s="54"/>
      <c r="B8" s="54"/>
      <c r="C8" s="54"/>
      <c r="D8" s="54"/>
    </row>
    <row r="9" spans="1:9" x14ac:dyDescent="0.25">
      <c r="B9" s="61" t="s">
        <v>49</v>
      </c>
      <c r="C9" s="61"/>
      <c r="D9" s="61"/>
      <c r="E9" s="67" t="str">
        <f>PROJEKAT</f>
        <v>Foto-naponska instalacija</v>
      </c>
      <c r="F9" s="67"/>
      <c r="G9" s="67"/>
      <c r="H9" s="67"/>
      <c r="I9" s="67"/>
    </row>
    <row r="10" spans="1:9" x14ac:dyDescent="0.25">
      <c r="B10" s="61" t="s">
        <v>124</v>
      </c>
      <c r="C10" s="61"/>
      <c r="D10" s="61"/>
      <c r="E10" s="76">
        <f>Investment</f>
        <v>22500</v>
      </c>
      <c r="F10" s="76"/>
      <c r="G10" s="76"/>
      <c r="H10" s="76"/>
      <c r="I10" s="76"/>
    </row>
    <row r="11" spans="1:9" x14ac:dyDescent="0.25">
      <c r="B11" s="61" t="s">
        <v>125</v>
      </c>
      <c r="C11" s="61"/>
      <c r="D11" s="61"/>
      <c r="E11" s="76">
        <f>Investment-Equity-Loan</f>
        <v>5000</v>
      </c>
      <c r="F11" s="76"/>
      <c r="G11" s="76"/>
      <c r="H11" s="76"/>
      <c r="I11" s="76"/>
    </row>
    <row r="12" spans="1:9" x14ac:dyDescent="0.25">
      <c r="B12" s="61" t="s">
        <v>126</v>
      </c>
      <c r="C12" s="61"/>
      <c r="D12" s="61"/>
      <c r="E12" s="76">
        <f>Equity</f>
        <v>5000</v>
      </c>
      <c r="F12" s="76"/>
      <c r="G12" s="76"/>
      <c r="H12" s="76"/>
      <c r="I12" s="76"/>
    </row>
    <row r="13" spans="1:9" x14ac:dyDescent="0.25">
      <c r="B13" s="61" t="s">
        <v>127</v>
      </c>
      <c r="C13" s="61"/>
      <c r="D13" s="61"/>
      <c r="E13" s="76">
        <f>Loan</f>
        <v>12500</v>
      </c>
      <c r="F13" s="76"/>
      <c r="G13" s="76"/>
      <c r="H13" s="76"/>
      <c r="I13" s="76"/>
    </row>
    <row r="14" spans="1:9" x14ac:dyDescent="0.25">
      <c r="B14" s="61" t="s">
        <v>128</v>
      </c>
      <c r="C14" s="61"/>
      <c r="D14" s="61"/>
      <c r="E14" s="76">
        <f>LCoEE</f>
        <v>318.29933162359214</v>
      </c>
      <c r="F14" s="76"/>
      <c r="G14" s="76"/>
      <c r="H14" s="76"/>
      <c r="I14" s="76"/>
    </row>
    <row r="15" spans="1:9" x14ac:dyDescent="0.25">
      <c r="B15" s="61" t="s">
        <v>129</v>
      </c>
      <c r="C15" s="61"/>
      <c r="D15" s="61"/>
      <c r="E15" s="76">
        <f>FNPV</f>
        <v>-24277.385905733041</v>
      </c>
      <c r="F15" s="76"/>
      <c r="G15" s="76"/>
      <c r="H15" s="76"/>
      <c r="I15" s="76"/>
    </row>
    <row r="16" spans="1:9" x14ac:dyDescent="0.25">
      <c r="B16" s="61" t="s">
        <v>130</v>
      </c>
      <c r="C16" s="61"/>
      <c r="D16" s="61"/>
      <c r="E16" s="75">
        <f>FIRR</f>
        <v>-8.2830235111716943E-2</v>
      </c>
      <c r="F16" s="75"/>
      <c r="G16" s="75"/>
      <c r="H16" s="75"/>
      <c r="I16" s="75"/>
    </row>
    <row r="17" spans="2:9" ht="18" x14ac:dyDescent="0.35">
      <c r="B17" s="61" t="s">
        <v>205</v>
      </c>
      <c r="C17" s="61"/>
      <c r="D17" s="61"/>
      <c r="E17" s="76">
        <f>+'FinInd+CO2'!E47</f>
        <v>-21088.432865104562</v>
      </c>
      <c r="F17" s="76"/>
      <c r="G17" s="76"/>
      <c r="H17" s="76"/>
      <c r="I17" s="76"/>
    </row>
    <row r="18" spans="2:9" ht="18" x14ac:dyDescent="0.35">
      <c r="B18" s="61" t="s">
        <v>206</v>
      </c>
      <c r="C18" s="61"/>
      <c r="D18" s="61"/>
      <c r="E18" s="75">
        <f>+'FinInd+CO2'!E48</f>
        <v>-5.3811016807566503E-2</v>
      </c>
      <c r="F18" s="75"/>
      <c r="G18" s="75"/>
      <c r="H18" s="75"/>
      <c r="I18" s="75"/>
    </row>
    <row r="20" spans="2:9" x14ac:dyDescent="0.25">
      <c r="B20" s="56" t="s">
        <v>114</v>
      </c>
      <c r="C20" s="56"/>
    </row>
    <row r="21" spans="2:9" x14ac:dyDescent="0.25">
      <c r="B21" s="56"/>
      <c r="C21" s="56"/>
    </row>
  </sheetData>
  <mergeCells count="23">
    <mergeCell ref="F3:I3"/>
    <mergeCell ref="E14:I14"/>
    <mergeCell ref="E15:I15"/>
    <mergeCell ref="E16:I16"/>
    <mergeCell ref="E17:I17"/>
    <mergeCell ref="E9:I9"/>
    <mergeCell ref="E10:I10"/>
    <mergeCell ref="E11:I11"/>
    <mergeCell ref="E12:I12"/>
    <mergeCell ref="E13:I13"/>
    <mergeCell ref="E18:I18"/>
    <mergeCell ref="B20:C21"/>
    <mergeCell ref="B14:D14"/>
    <mergeCell ref="B15:D15"/>
    <mergeCell ref="B16:D16"/>
    <mergeCell ref="B17:D17"/>
    <mergeCell ref="B18:D18"/>
    <mergeCell ref="B13:D13"/>
    <mergeCell ref="A7:D8"/>
    <mergeCell ref="B9:D9"/>
    <mergeCell ref="B10:D10"/>
    <mergeCell ref="B11:D11"/>
    <mergeCell ref="B12:D12"/>
  </mergeCells>
  <hyperlinks>
    <hyperlink ref="B20:C21" location="ESCOGrafFina!A5" display="NAZAD"/>
  </hyperlink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C23"/>
  <sheetViews>
    <sheetView zoomScaleNormal="100" workbookViewId="0">
      <selection activeCell="G18" sqref="G18"/>
    </sheetView>
  </sheetViews>
  <sheetFormatPr defaultRowHeight="15" x14ac:dyDescent="0.25"/>
  <sheetData>
    <row r="7" spans="2:3" ht="21" x14ac:dyDescent="0.35">
      <c r="B7" s="51" t="s">
        <v>195</v>
      </c>
    </row>
    <row r="8" spans="2:3" ht="18" x14ac:dyDescent="0.35">
      <c r="C8" s="44" t="s">
        <v>196</v>
      </c>
    </row>
    <row r="9" spans="2:3" x14ac:dyDescent="0.25">
      <c r="B9" t="s">
        <v>21</v>
      </c>
      <c r="C9" s="8">
        <v>0.4</v>
      </c>
    </row>
    <row r="10" spans="2:3" x14ac:dyDescent="0.25">
      <c r="B10" t="s">
        <v>20</v>
      </c>
      <c r="C10" s="8">
        <v>0.33</v>
      </c>
    </row>
    <row r="11" spans="2:3" x14ac:dyDescent="0.25">
      <c r="B11" t="s">
        <v>197</v>
      </c>
      <c r="C11" s="8">
        <v>0.34</v>
      </c>
    </row>
    <row r="12" spans="2:3" x14ac:dyDescent="0.25">
      <c r="B12" t="s">
        <v>198</v>
      </c>
      <c r="C12" s="8">
        <v>0.27</v>
      </c>
    </row>
    <row r="13" spans="2:3" x14ac:dyDescent="0.25">
      <c r="B13" t="s">
        <v>17</v>
      </c>
      <c r="C13" s="8">
        <v>0.28000000000000003</v>
      </c>
    </row>
    <row r="14" spans="2:3" x14ac:dyDescent="0.25">
      <c r="B14" t="s">
        <v>14</v>
      </c>
      <c r="C14" s="8">
        <v>0.2</v>
      </c>
    </row>
    <row r="15" spans="2:3" x14ac:dyDescent="0.25">
      <c r="B15" t="s">
        <v>199</v>
      </c>
      <c r="C15" s="8">
        <v>0.22</v>
      </c>
    </row>
    <row r="16" spans="2:3" x14ac:dyDescent="0.25">
      <c r="B16" t="s">
        <v>200</v>
      </c>
      <c r="C16" s="8">
        <v>0.49399999999999999</v>
      </c>
    </row>
    <row r="17" spans="2:3" x14ac:dyDescent="0.25">
      <c r="B17" t="s">
        <v>23</v>
      </c>
      <c r="C17" s="8">
        <v>4.9000000000000002E-2</v>
      </c>
    </row>
    <row r="18" spans="2:3" x14ac:dyDescent="0.25">
      <c r="B18" t="s">
        <v>201</v>
      </c>
      <c r="C18" s="8">
        <v>0.04</v>
      </c>
    </row>
    <row r="19" spans="2:3" x14ac:dyDescent="0.25">
      <c r="B19" t="s">
        <v>202</v>
      </c>
      <c r="C19" s="8">
        <v>0.28999999999999998</v>
      </c>
    </row>
    <row r="20" spans="2:3" x14ac:dyDescent="0.25">
      <c r="B20" t="s">
        <v>18</v>
      </c>
      <c r="C20" s="8">
        <v>0.8</v>
      </c>
    </row>
    <row r="21" spans="2:3" x14ac:dyDescent="0.25">
      <c r="B21" t="s">
        <v>203</v>
      </c>
      <c r="C21" s="8">
        <v>0</v>
      </c>
    </row>
    <row r="22" spans="2:3" x14ac:dyDescent="0.25">
      <c r="B22" t="s">
        <v>192</v>
      </c>
    </row>
    <row r="23" spans="2:3" x14ac:dyDescent="0.25">
      <c r="B23" t="s">
        <v>204</v>
      </c>
      <c r="C23" s="8">
        <v>0.22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21"/>
  <sheetViews>
    <sheetView zoomScaleNormal="100" workbookViewId="0">
      <selection activeCell="K25" sqref="K25"/>
    </sheetView>
  </sheetViews>
  <sheetFormatPr defaultRowHeight="15" x14ac:dyDescent="0.25"/>
  <cols>
    <col min="2" max="2" width="25.7109375" customWidth="1"/>
    <col min="3" max="3" width="15.42578125" customWidth="1"/>
  </cols>
  <sheetData>
    <row r="3" spans="2:7" ht="16.5" x14ac:dyDescent="0.35">
      <c r="D3" s="52" t="s">
        <v>136</v>
      </c>
      <c r="E3" s="52"/>
      <c r="F3" s="52"/>
      <c r="G3" s="52"/>
    </row>
    <row r="7" spans="2:7" ht="21" x14ac:dyDescent="0.35">
      <c r="B7" s="59" t="s">
        <v>186</v>
      </c>
      <c r="C7" s="59"/>
      <c r="D7" s="59"/>
      <c r="E7" s="59"/>
      <c r="F7" s="59"/>
      <c r="G7" s="59"/>
    </row>
    <row r="8" spans="2:7" x14ac:dyDescent="0.25">
      <c r="B8" s="44"/>
      <c r="C8" s="44"/>
      <c r="D8" s="44"/>
      <c r="E8" s="44"/>
      <c r="F8" s="44"/>
      <c r="G8" s="44"/>
    </row>
    <row r="9" spans="2:7" x14ac:dyDescent="0.25">
      <c r="B9" s="60" t="s">
        <v>187</v>
      </c>
      <c r="C9" s="60" t="s">
        <v>188</v>
      </c>
      <c r="D9" s="60" t="s">
        <v>189</v>
      </c>
      <c r="E9" s="60" t="s">
        <v>190</v>
      </c>
    </row>
    <row r="10" spans="2:7" x14ac:dyDescent="0.25">
      <c r="B10" s="60"/>
      <c r="C10" s="60"/>
      <c r="D10" s="60"/>
      <c r="E10" s="60"/>
    </row>
    <row r="11" spans="2:7" ht="18" x14ac:dyDescent="0.35">
      <c r="B11" s="22"/>
      <c r="C11" s="45" t="s">
        <v>25</v>
      </c>
      <c r="D11" s="45" t="s">
        <v>97</v>
      </c>
      <c r="E11" s="45" t="s">
        <v>191</v>
      </c>
    </row>
    <row r="12" spans="2:7" x14ac:dyDescent="0.25">
      <c r="B12" s="46" t="s">
        <v>23</v>
      </c>
      <c r="C12" s="47">
        <v>5000</v>
      </c>
      <c r="D12" s="48">
        <f>VLOOKUP(B12,Goriva!B9:C23,2,FALSE)</f>
        <v>4.9000000000000002E-2</v>
      </c>
      <c r="E12" s="49">
        <f>IF(B12&lt;&gt;"Gorivo",C12*D12,"")</f>
        <v>245</v>
      </c>
    </row>
    <row r="13" spans="2:7" x14ac:dyDescent="0.25">
      <c r="B13" s="46" t="s">
        <v>14</v>
      </c>
      <c r="C13" s="47">
        <v>25000</v>
      </c>
      <c r="D13" s="48">
        <f>IF(B13&lt;&gt;"Gorivo",VLOOKUP(B13,[2]Goriva!B10:C23,2,FALSE),"")</f>
        <v>0.2</v>
      </c>
      <c r="E13" s="49">
        <f t="shared" ref="E13:E17" si="0">IF(B13&lt;&gt;"Gorivo",C13*D13,"")</f>
        <v>5000</v>
      </c>
    </row>
    <row r="14" spans="2:7" x14ac:dyDescent="0.25">
      <c r="B14" s="46" t="s">
        <v>192</v>
      </c>
      <c r="C14" s="47"/>
      <c r="D14" s="48" t="str">
        <f>IF(B14&lt;&gt;"Gorivo",VLOOKUP(B14,[2]Goriva!B11:C24,2,FALSE),"")</f>
        <v/>
      </c>
      <c r="E14" s="49" t="str">
        <f t="shared" si="0"/>
        <v/>
      </c>
    </row>
    <row r="15" spans="2:7" x14ac:dyDescent="0.25">
      <c r="B15" s="46" t="s">
        <v>192</v>
      </c>
      <c r="C15" s="47"/>
      <c r="D15" s="48" t="str">
        <f>IF(B15&lt;&gt;"Gorivo",VLOOKUP(B15,[2]Goriva!B12:C25,2,FALSE),"")</f>
        <v/>
      </c>
      <c r="E15" s="49" t="str">
        <f t="shared" si="0"/>
        <v/>
      </c>
    </row>
    <row r="16" spans="2:7" x14ac:dyDescent="0.25">
      <c r="B16" s="46" t="s">
        <v>192</v>
      </c>
      <c r="C16" s="47"/>
      <c r="D16" s="48" t="str">
        <f>IF(B16&lt;&gt;"Gorivo",VLOOKUP(B16,[2]Goriva!B13:C26,2,FALSE),"")</f>
        <v/>
      </c>
      <c r="E16" s="49" t="str">
        <f t="shared" si="0"/>
        <v/>
      </c>
    </row>
    <row r="17" spans="2:5" x14ac:dyDescent="0.25">
      <c r="B17" s="46" t="s">
        <v>192</v>
      </c>
      <c r="C17" s="47"/>
      <c r="D17" s="48" t="str">
        <f>IF(B17&lt;&gt;"Gorivo",VLOOKUP(B17,[2]Goriva!B14:C27,2,FALSE),"")</f>
        <v/>
      </c>
      <c r="E17" s="49" t="str">
        <f t="shared" si="0"/>
        <v/>
      </c>
    </row>
    <row r="18" spans="2:5" x14ac:dyDescent="0.25">
      <c r="B18" s="22" t="s">
        <v>100</v>
      </c>
      <c r="C18" s="49">
        <f>SUM(C12:C17)</f>
        <v>30000</v>
      </c>
      <c r="D18" s="48"/>
      <c r="E18" s="49">
        <f>SUM(E12:E17)</f>
        <v>5245</v>
      </c>
    </row>
    <row r="20" spans="2:5" ht="18" x14ac:dyDescent="0.35">
      <c r="B20" s="58" t="s">
        <v>193</v>
      </c>
      <c r="C20" s="58"/>
      <c r="D20" s="58"/>
      <c r="E20" s="45" t="s">
        <v>194</v>
      </c>
    </row>
    <row r="21" spans="2:5" x14ac:dyDescent="0.25">
      <c r="B21" s="58"/>
      <c r="C21" s="58"/>
      <c r="D21" s="58"/>
      <c r="E21" s="50">
        <f>E18/C18</f>
        <v>0.17483333333333334</v>
      </c>
    </row>
  </sheetData>
  <mergeCells count="7">
    <mergeCell ref="B20:D21"/>
    <mergeCell ref="D3:G3"/>
    <mergeCell ref="B7:G7"/>
    <mergeCell ref="B9:B10"/>
    <mergeCell ref="C9:C10"/>
    <mergeCell ref="D9:D10"/>
    <mergeCell ref="E9:E10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Goriva!$B$9:$B$23</xm:f>
          </x14:formula1>
          <xm:sqref>B12:B17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3:Q40"/>
  <sheetViews>
    <sheetView topLeftCell="E1" workbookViewId="0">
      <selection activeCell="Y27" sqref="Y27"/>
    </sheetView>
  </sheetViews>
  <sheetFormatPr defaultRowHeight="15" x14ac:dyDescent="0.25"/>
  <cols>
    <col min="3" max="3" width="36.42578125" customWidth="1"/>
    <col min="8" max="8" width="10.28515625" customWidth="1"/>
    <col min="14" max="14" width="10.140625" customWidth="1"/>
  </cols>
  <sheetData>
    <row r="3" spans="2:15" ht="16.5" x14ac:dyDescent="0.35">
      <c r="D3" s="52" t="s">
        <v>136</v>
      </c>
      <c r="E3" s="52"/>
      <c r="F3" s="52"/>
      <c r="G3" s="52"/>
    </row>
    <row r="7" spans="2:15" ht="15" customHeight="1" x14ac:dyDescent="0.25">
      <c r="B7" s="18" t="s">
        <v>49</v>
      </c>
      <c r="C7" t="s">
        <v>50</v>
      </c>
      <c r="F7">
        <v>1</v>
      </c>
      <c r="H7" s="22" t="s">
        <v>10</v>
      </c>
      <c r="I7" t="s">
        <v>68</v>
      </c>
      <c r="N7" s="22" t="s">
        <v>3</v>
      </c>
      <c r="O7" t="s">
        <v>4</v>
      </c>
    </row>
    <row r="8" spans="2:15" x14ac:dyDescent="0.25">
      <c r="C8" t="s">
        <v>51</v>
      </c>
      <c r="F8">
        <v>2</v>
      </c>
      <c r="I8" t="s">
        <v>69</v>
      </c>
      <c r="O8" t="s">
        <v>5</v>
      </c>
    </row>
    <row r="9" spans="2:15" x14ac:dyDescent="0.25">
      <c r="C9" t="s">
        <v>52</v>
      </c>
      <c r="F9">
        <v>3</v>
      </c>
      <c r="I9" t="s">
        <v>70</v>
      </c>
      <c r="O9" t="s">
        <v>6</v>
      </c>
    </row>
    <row r="10" spans="2:15" x14ac:dyDescent="0.25">
      <c r="C10" t="s">
        <v>53</v>
      </c>
      <c r="F10">
        <v>4</v>
      </c>
      <c r="I10" t="s">
        <v>71</v>
      </c>
      <c r="O10" t="s">
        <v>7</v>
      </c>
    </row>
    <row r="11" spans="2:15" x14ac:dyDescent="0.25">
      <c r="C11" t="s">
        <v>54</v>
      </c>
      <c r="F11">
        <v>5</v>
      </c>
      <c r="I11" t="s">
        <v>72</v>
      </c>
      <c r="O11" t="s">
        <v>8</v>
      </c>
    </row>
    <row r="12" spans="2:15" x14ac:dyDescent="0.25">
      <c r="C12" t="s">
        <v>55</v>
      </c>
      <c r="F12">
        <v>6</v>
      </c>
      <c r="I12" t="s">
        <v>73</v>
      </c>
      <c r="O12" t="s">
        <v>45</v>
      </c>
    </row>
    <row r="13" spans="2:15" x14ac:dyDescent="0.25">
      <c r="C13" t="s">
        <v>56</v>
      </c>
      <c r="F13">
        <v>7</v>
      </c>
      <c r="I13" t="s">
        <v>88</v>
      </c>
    </row>
    <row r="14" spans="2:15" x14ac:dyDescent="0.25">
      <c r="C14" t="s">
        <v>57</v>
      </c>
      <c r="F14">
        <v>8</v>
      </c>
      <c r="I14" t="s">
        <v>74</v>
      </c>
    </row>
    <row r="15" spans="2:15" x14ac:dyDescent="0.25">
      <c r="C15" t="s">
        <v>58</v>
      </c>
      <c r="F15">
        <v>9</v>
      </c>
      <c r="H15" s="13"/>
      <c r="I15" t="s">
        <v>75</v>
      </c>
      <c r="N15" s="22" t="s">
        <v>9</v>
      </c>
      <c r="O15" t="s">
        <v>76</v>
      </c>
    </row>
    <row r="16" spans="2:15" x14ac:dyDescent="0.25">
      <c r="C16" t="s">
        <v>59</v>
      </c>
      <c r="F16">
        <v>10</v>
      </c>
      <c r="H16" s="13"/>
      <c r="O16" t="s">
        <v>77</v>
      </c>
    </row>
    <row r="17" spans="3:17" x14ac:dyDescent="0.25">
      <c r="C17" t="s">
        <v>60</v>
      </c>
      <c r="F17">
        <v>11</v>
      </c>
      <c r="O17" t="s">
        <v>78</v>
      </c>
    </row>
    <row r="18" spans="3:17" x14ac:dyDescent="0.25">
      <c r="C18" t="s">
        <v>61</v>
      </c>
      <c r="F18">
        <v>12</v>
      </c>
      <c r="O18" t="s">
        <v>79</v>
      </c>
    </row>
    <row r="19" spans="3:17" ht="18" x14ac:dyDescent="0.35">
      <c r="C19" t="s">
        <v>62</v>
      </c>
      <c r="F19">
        <v>13</v>
      </c>
      <c r="O19" t="s">
        <v>80</v>
      </c>
    </row>
    <row r="20" spans="3:17" x14ac:dyDescent="0.25">
      <c r="C20" t="s">
        <v>63</v>
      </c>
      <c r="F20">
        <v>14</v>
      </c>
    </row>
    <row r="21" spans="3:17" ht="18" x14ac:dyDescent="0.35">
      <c r="C21" t="s">
        <v>64</v>
      </c>
      <c r="F21">
        <v>15</v>
      </c>
      <c r="H21" s="61" t="s">
        <v>132</v>
      </c>
      <c r="I21" s="61"/>
      <c r="J21" s="61"/>
      <c r="N21" s="22" t="s">
        <v>12</v>
      </c>
      <c r="O21" t="s">
        <v>81</v>
      </c>
    </row>
    <row r="22" spans="3:17" x14ac:dyDescent="0.25">
      <c r="C22" t="s">
        <v>65</v>
      </c>
      <c r="F22">
        <v>16</v>
      </c>
      <c r="I22" t="s">
        <v>133</v>
      </c>
      <c r="K22" s="3">
        <f>+UnosPodataka!F22</f>
        <v>5000</v>
      </c>
      <c r="L22" s="21">
        <v>0</v>
      </c>
      <c r="O22" t="s">
        <v>82</v>
      </c>
    </row>
    <row r="23" spans="3:17" x14ac:dyDescent="0.25">
      <c r="C23" t="s">
        <v>66</v>
      </c>
      <c r="F23">
        <v>17</v>
      </c>
      <c r="I23" t="s">
        <v>134</v>
      </c>
      <c r="K23" s="3">
        <f>+Loan</f>
        <v>12500</v>
      </c>
      <c r="L23" s="21">
        <f>+UnosPodataka!M20</f>
        <v>0.12</v>
      </c>
      <c r="O23" t="s">
        <v>83</v>
      </c>
    </row>
    <row r="24" spans="3:17" x14ac:dyDescent="0.25">
      <c r="C24" t="s">
        <v>67</v>
      </c>
      <c r="F24">
        <v>18</v>
      </c>
      <c r="I24" t="s">
        <v>45</v>
      </c>
      <c r="K24" s="3">
        <f>+Equity</f>
        <v>5000</v>
      </c>
      <c r="L24" s="7">
        <f>+UnosPodataka!M21</f>
        <v>5.8299999999999998E-2</v>
      </c>
      <c r="O24" t="s">
        <v>84</v>
      </c>
    </row>
    <row r="25" spans="3:17" x14ac:dyDescent="0.25">
      <c r="C25" s="17">
        <f>VLOOKUP(Pocetna!M12,C7:F23,4,FALSE)</f>
        <v>15</v>
      </c>
      <c r="J25" t="s">
        <v>135</v>
      </c>
      <c r="K25" s="3">
        <f>SUM(K22:K24)</f>
        <v>22500</v>
      </c>
      <c r="L25" s="7">
        <f>+(K22*L22+K23*L23+K24*L24)/K25</f>
        <v>7.9622222222222219E-2</v>
      </c>
      <c r="O25" t="s">
        <v>85</v>
      </c>
    </row>
    <row r="26" spans="3:17" x14ac:dyDescent="0.25">
      <c r="C26" s="12"/>
      <c r="O26" t="s">
        <v>131</v>
      </c>
    </row>
    <row r="27" spans="3:17" x14ac:dyDescent="0.25">
      <c r="O27" t="s">
        <v>86</v>
      </c>
    </row>
    <row r="28" spans="3:17" x14ac:dyDescent="0.25">
      <c r="C28" s="26"/>
      <c r="N28" s="22" t="s">
        <v>13</v>
      </c>
    </row>
    <row r="29" spans="3:17" x14ac:dyDescent="0.25">
      <c r="O29" t="s">
        <v>14</v>
      </c>
      <c r="Q29" s="3">
        <v>0.2</v>
      </c>
    </row>
    <row r="30" spans="3:17" x14ac:dyDescent="0.25">
      <c r="O30" t="s">
        <v>15</v>
      </c>
      <c r="Q30" s="3">
        <v>0.22</v>
      </c>
    </row>
    <row r="31" spans="3:17" x14ac:dyDescent="0.25">
      <c r="O31" t="s">
        <v>16</v>
      </c>
      <c r="Q31" s="3">
        <v>0.27</v>
      </c>
    </row>
    <row r="32" spans="3:17" x14ac:dyDescent="0.25">
      <c r="O32" t="s">
        <v>17</v>
      </c>
      <c r="Q32" s="3">
        <v>0.28000000000000003</v>
      </c>
    </row>
    <row r="33" spans="15:17" x14ac:dyDescent="0.25">
      <c r="O33" t="s">
        <v>18</v>
      </c>
      <c r="Q33" s="3">
        <v>0.8</v>
      </c>
    </row>
    <row r="34" spans="15:17" x14ac:dyDescent="0.25">
      <c r="O34" t="s">
        <v>19</v>
      </c>
      <c r="Q34" s="3">
        <v>0.49399999999999999</v>
      </c>
    </row>
    <row r="35" spans="15:17" x14ac:dyDescent="0.25">
      <c r="O35" t="s">
        <v>23</v>
      </c>
      <c r="Q35" s="3">
        <v>0</v>
      </c>
    </row>
    <row r="36" spans="15:17" x14ac:dyDescent="0.25">
      <c r="O36" t="s">
        <v>20</v>
      </c>
      <c r="Q36" s="3">
        <v>0.4</v>
      </c>
    </row>
    <row r="37" spans="15:17" x14ac:dyDescent="0.25">
      <c r="O37" t="s">
        <v>21</v>
      </c>
      <c r="Q37" s="3">
        <v>0.33</v>
      </c>
    </row>
    <row r="38" spans="15:17" x14ac:dyDescent="0.25">
      <c r="O38" t="s">
        <v>22</v>
      </c>
      <c r="Q38" s="3">
        <v>0</v>
      </c>
    </row>
    <row r="39" spans="15:17" x14ac:dyDescent="0.25">
      <c r="O39" t="s">
        <v>116</v>
      </c>
      <c r="Q39" s="8">
        <f>SUM(KonvFaktor!E21)</f>
        <v>0.17483333333333334</v>
      </c>
    </row>
    <row r="40" spans="15:17" x14ac:dyDescent="0.25">
      <c r="O40" t="s">
        <v>207</v>
      </c>
      <c r="Q40" s="3">
        <v>0.22</v>
      </c>
    </row>
  </sheetData>
  <mergeCells count="2">
    <mergeCell ref="H21:J21"/>
    <mergeCell ref="D3:G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3:P32"/>
  <sheetViews>
    <sheetView workbookViewId="0">
      <selection activeCell="T33" sqref="T33"/>
    </sheetView>
  </sheetViews>
  <sheetFormatPr defaultRowHeight="15" x14ac:dyDescent="0.25"/>
  <cols>
    <col min="5" max="5" width="18.28515625" customWidth="1"/>
    <col min="6" max="6" width="15.28515625" customWidth="1"/>
    <col min="12" max="12" width="19.85546875" customWidth="1"/>
    <col min="13" max="13" width="14" customWidth="1"/>
  </cols>
  <sheetData>
    <row r="3" spans="2:16" ht="16.5" x14ac:dyDescent="0.35">
      <c r="F3" s="52" t="s">
        <v>136</v>
      </c>
      <c r="G3" s="52"/>
      <c r="H3" s="52"/>
      <c r="I3" s="52"/>
    </row>
    <row r="7" spans="2:16" x14ac:dyDescent="0.25">
      <c r="B7" s="66" t="s">
        <v>87</v>
      </c>
      <c r="C7" s="66"/>
      <c r="D7" s="66"/>
      <c r="E7" s="66"/>
      <c r="F7" s="1" t="s">
        <v>1</v>
      </c>
      <c r="I7" s="66" t="s">
        <v>87</v>
      </c>
      <c r="J7" s="66"/>
      <c r="K7" s="66"/>
      <c r="L7" s="66"/>
      <c r="M7" s="2" t="s">
        <v>24</v>
      </c>
    </row>
    <row r="8" spans="2:16" x14ac:dyDescent="0.25">
      <c r="O8" s="56" t="s">
        <v>114</v>
      </c>
      <c r="P8" s="56"/>
    </row>
    <row r="9" spans="2:16" x14ac:dyDescent="0.25">
      <c r="B9" s="62" t="s">
        <v>68</v>
      </c>
      <c r="C9" s="62"/>
      <c r="D9" s="62"/>
      <c r="E9" s="62"/>
      <c r="F9" s="9">
        <v>1000</v>
      </c>
      <c r="I9" s="63" t="s">
        <v>76</v>
      </c>
      <c r="J9" s="63"/>
      <c r="K9" s="63"/>
      <c r="L9" s="63"/>
      <c r="M9" s="3">
        <v>100</v>
      </c>
      <c r="O9" s="56"/>
      <c r="P9" s="56"/>
    </row>
    <row r="10" spans="2:16" x14ac:dyDescent="0.25">
      <c r="B10" s="62" t="s">
        <v>69</v>
      </c>
      <c r="C10" s="62"/>
      <c r="D10" s="62"/>
      <c r="E10" s="62"/>
      <c r="F10" s="9">
        <v>500</v>
      </c>
      <c r="I10" s="63" t="s">
        <v>77</v>
      </c>
      <c r="J10" s="63"/>
      <c r="K10" s="63"/>
      <c r="L10" s="63"/>
      <c r="M10" s="7">
        <v>1</v>
      </c>
    </row>
    <row r="11" spans="2:16" x14ac:dyDescent="0.25">
      <c r="B11" s="62" t="s">
        <v>70</v>
      </c>
      <c r="C11" s="62"/>
      <c r="D11" s="62"/>
      <c r="E11" s="62"/>
      <c r="F11" s="9">
        <v>10000</v>
      </c>
      <c r="I11" s="63" t="s">
        <v>78</v>
      </c>
      <c r="J11" s="63"/>
      <c r="K11" s="63"/>
      <c r="L11" s="63"/>
      <c r="M11" s="7">
        <v>0.01</v>
      </c>
      <c r="O11" s="57" t="s">
        <v>115</v>
      </c>
      <c r="P11" s="57"/>
    </row>
    <row r="12" spans="2:16" x14ac:dyDescent="0.25">
      <c r="B12" s="62" t="s">
        <v>71</v>
      </c>
      <c r="C12" s="62"/>
      <c r="D12" s="62"/>
      <c r="E12" s="62"/>
      <c r="F12" s="9">
        <v>7000</v>
      </c>
      <c r="I12" s="63" t="s">
        <v>79</v>
      </c>
      <c r="J12" s="63"/>
      <c r="K12" s="63"/>
      <c r="L12" s="63"/>
      <c r="M12" s="7">
        <v>0.1</v>
      </c>
      <c r="O12" s="57"/>
      <c r="P12" s="57"/>
    </row>
    <row r="13" spans="2:16" x14ac:dyDescent="0.25">
      <c r="B13" s="62" t="s">
        <v>72</v>
      </c>
      <c r="C13" s="62"/>
      <c r="D13" s="62"/>
      <c r="E13" s="62"/>
      <c r="F13" s="9">
        <v>1000</v>
      </c>
      <c r="I13" s="63" t="s">
        <v>89</v>
      </c>
      <c r="J13" s="63"/>
      <c r="K13" s="63"/>
      <c r="L13" s="63"/>
      <c r="M13" s="8">
        <f>97.44</f>
        <v>97.44</v>
      </c>
    </row>
    <row r="14" spans="2:16" x14ac:dyDescent="0.25">
      <c r="B14" s="62" t="s">
        <v>73</v>
      </c>
      <c r="C14" s="62"/>
      <c r="D14" s="62"/>
      <c r="E14" s="62"/>
      <c r="F14" s="9">
        <v>1000</v>
      </c>
      <c r="I14" s="23"/>
      <c r="J14" s="23"/>
      <c r="K14" s="23"/>
      <c r="L14" s="23"/>
      <c r="M14" s="8"/>
    </row>
    <row r="15" spans="2:16" x14ac:dyDescent="0.25">
      <c r="B15" s="62" t="s">
        <v>88</v>
      </c>
      <c r="C15" s="62"/>
      <c r="D15" s="62"/>
      <c r="E15" s="62"/>
      <c r="F15" s="9">
        <v>500</v>
      </c>
      <c r="I15" s="23"/>
      <c r="J15" s="23"/>
      <c r="K15" s="23"/>
      <c r="L15" s="23"/>
      <c r="M15" s="8"/>
    </row>
    <row r="16" spans="2:16" x14ac:dyDescent="0.25">
      <c r="B16" s="62" t="s">
        <v>74</v>
      </c>
      <c r="C16" s="62"/>
      <c r="D16" s="62"/>
      <c r="E16" s="62"/>
      <c r="F16" s="9">
        <v>1000</v>
      </c>
      <c r="I16" s="23"/>
      <c r="J16" s="23"/>
      <c r="K16" s="23"/>
      <c r="L16" s="23"/>
      <c r="M16" s="8"/>
    </row>
    <row r="17" spans="2:13" x14ac:dyDescent="0.25">
      <c r="B17" s="62" t="s">
        <v>75</v>
      </c>
      <c r="C17" s="62"/>
      <c r="D17" s="62"/>
      <c r="E17" s="62"/>
      <c r="F17" s="9">
        <v>500</v>
      </c>
      <c r="I17" s="23"/>
      <c r="J17" s="23"/>
      <c r="K17" s="23"/>
      <c r="L17" s="23"/>
      <c r="M17" s="8"/>
    </row>
    <row r="18" spans="2:13" x14ac:dyDescent="0.25">
      <c r="B18" s="62"/>
      <c r="C18" s="62"/>
      <c r="D18" s="62"/>
      <c r="E18" s="62"/>
      <c r="F18" s="9"/>
      <c r="I18" s="67"/>
      <c r="J18" s="67"/>
      <c r="K18" s="67"/>
      <c r="L18" s="67"/>
      <c r="M18" s="7"/>
    </row>
    <row r="19" spans="2:13" x14ac:dyDescent="0.25">
      <c r="B19" s="62"/>
      <c r="C19" s="62"/>
      <c r="D19" s="62"/>
      <c r="E19" s="62"/>
      <c r="F19" s="9"/>
      <c r="I19" s="63" t="s">
        <v>84</v>
      </c>
      <c r="J19" s="63"/>
      <c r="K19" s="63"/>
      <c r="L19" s="63"/>
      <c r="M19" s="27">
        <v>0.06</v>
      </c>
    </row>
    <row r="20" spans="2:13" x14ac:dyDescent="0.25">
      <c r="B20" s="10"/>
      <c r="C20" s="10"/>
      <c r="D20" s="64" t="s">
        <v>98</v>
      </c>
      <c r="E20" s="64"/>
      <c r="F20" s="3">
        <f>SUM(F9:F19)</f>
        <v>22500</v>
      </c>
      <c r="I20" s="63" t="s">
        <v>85</v>
      </c>
      <c r="J20" s="63"/>
      <c r="K20" s="63"/>
      <c r="L20" s="63"/>
      <c r="M20" s="7">
        <v>0.12</v>
      </c>
    </row>
    <row r="21" spans="2:13" x14ac:dyDescent="0.25">
      <c r="D21" s="65" t="s">
        <v>99</v>
      </c>
      <c r="E21" s="65"/>
      <c r="F21" s="3">
        <f>F20*(1+PDV)</f>
        <v>27000</v>
      </c>
      <c r="I21" s="63" t="s">
        <v>82</v>
      </c>
      <c r="J21" s="63"/>
      <c r="K21" s="63"/>
      <c r="L21" s="63"/>
      <c r="M21" s="7">
        <v>5.8299999999999998E-2</v>
      </c>
    </row>
    <row r="22" spans="2:13" x14ac:dyDescent="0.25">
      <c r="B22" s="63" t="s">
        <v>4</v>
      </c>
      <c r="C22" s="63"/>
      <c r="D22" s="63"/>
      <c r="E22" s="63"/>
      <c r="F22" s="3">
        <v>5000</v>
      </c>
      <c r="I22" s="63" t="s">
        <v>82</v>
      </c>
      <c r="J22" s="63"/>
      <c r="K22" s="63"/>
      <c r="L22" s="63"/>
      <c r="M22" s="11">
        <v>10</v>
      </c>
    </row>
    <row r="23" spans="2:13" x14ac:dyDescent="0.25">
      <c r="B23" s="63"/>
      <c r="C23" s="63"/>
      <c r="D23" s="63"/>
      <c r="E23" s="63"/>
      <c r="F23" s="3"/>
      <c r="I23" s="63" t="s">
        <v>86</v>
      </c>
      <c r="J23" s="63"/>
      <c r="K23" s="63"/>
      <c r="L23" s="63"/>
      <c r="M23" s="3" t="s">
        <v>116</v>
      </c>
    </row>
    <row r="24" spans="2:13" x14ac:dyDescent="0.25">
      <c r="B24" s="63"/>
      <c r="C24" s="63"/>
      <c r="D24" s="63"/>
      <c r="E24" s="63"/>
      <c r="F24" s="3"/>
      <c r="I24" s="63" t="s">
        <v>90</v>
      </c>
      <c r="J24" s="63"/>
      <c r="K24" s="63"/>
      <c r="L24" s="63"/>
      <c r="M24" s="3">
        <f>VLOOKUP(M23,PomTab1!O29:Q39,3,FALSE)</f>
        <v>0.17483333333333334</v>
      </c>
    </row>
    <row r="25" spans="2:13" x14ac:dyDescent="0.25">
      <c r="B25" s="63"/>
      <c r="C25" s="63"/>
      <c r="D25" s="63"/>
      <c r="E25" s="63"/>
      <c r="I25" s="63" t="s">
        <v>83</v>
      </c>
      <c r="J25" s="63"/>
      <c r="K25" s="63"/>
      <c r="L25" s="63"/>
      <c r="M25" s="11">
        <v>20</v>
      </c>
    </row>
    <row r="26" spans="2:13" x14ac:dyDescent="0.25">
      <c r="B26" s="63"/>
      <c r="C26" s="63"/>
      <c r="D26" s="63"/>
      <c r="E26" s="63"/>
    </row>
    <row r="27" spans="2:13" x14ac:dyDescent="0.25">
      <c r="B27" s="63" t="s">
        <v>45</v>
      </c>
      <c r="C27" s="63"/>
      <c r="D27" s="63"/>
      <c r="E27" s="63"/>
      <c r="F27" s="3">
        <v>5000</v>
      </c>
      <c r="I27" s="63"/>
      <c r="J27" s="63"/>
      <c r="K27" s="63"/>
      <c r="L27" s="63"/>
      <c r="M27" s="14"/>
    </row>
    <row r="28" spans="2:13" x14ac:dyDescent="0.25">
      <c r="E28" s="5" t="s">
        <v>100</v>
      </c>
      <c r="F28" s="3">
        <f>IF(SUM(F22:F27)&gt;F20,FALSE,SUM(F22:F27))</f>
        <v>10000</v>
      </c>
      <c r="I28" s="63"/>
      <c r="J28" s="63"/>
      <c r="K28" s="63"/>
      <c r="L28" s="63"/>
      <c r="M28" s="3"/>
    </row>
    <row r="29" spans="2:13" x14ac:dyDescent="0.25">
      <c r="F29" s="3"/>
      <c r="I29" s="63"/>
      <c r="J29" s="63"/>
      <c r="K29" s="63"/>
      <c r="L29" s="63"/>
      <c r="M29" s="14"/>
    </row>
    <row r="30" spans="2:13" x14ac:dyDescent="0.25">
      <c r="E30" s="4" t="s">
        <v>101</v>
      </c>
      <c r="F30" s="3">
        <f>F20-F28</f>
        <v>12500</v>
      </c>
    </row>
    <row r="32" spans="2:13" x14ac:dyDescent="0.25">
      <c r="H32" s="42"/>
    </row>
  </sheetData>
  <mergeCells count="40">
    <mergeCell ref="F3:I3"/>
    <mergeCell ref="I19:L19"/>
    <mergeCell ref="I18:L18"/>
    <mergeCell ref="I27:L27"/>
    <mergeCell ref="I28:L28"/>
    <mergeCell ref="I29:L29"/>
    <mergeCell ref="I20:L20"/>
    <mergeCell ref="I22:L22"/>
    <mergeCell ref="I23:L23"/>
    <mergeCell ref="I24:L24"/>
    <mergeCell ref="I25:L25"/>
    <mergeCell ref="I21:L21"/>
    <mergeCell ref="B26:E26"/>
    <mergeCell ref="D20:E20"/>
    <mergeCell ref="D21:E21"/>
    <mergeCell ref="B27:E27"/>
    <mergeCell ref="I7:L7"/>
    <mergeCell ref="B22:E22"/>
    <mergeCell ref="B23:E23"/>
    <mergeCell ref="B24:E24"/>
    <mergeCell ref="B25:E25"/>
    <mergeCell ref="B12:E12"/>
    <mergeCell ref="B13:E13"/>
    <mergeCell ref="B18:E18"/>
    <mergeCell ref="B19:E19"/>
    <mergeCell ref="B7:E7"/>
    <mergeCell ref="B9:E9"/>
    <mergeCell ref="B10:E10"/>
    <mergeCell ref="O8:P9"/>
    <mergeCell ref="O11:P12"/>
    <mergeCell ref="B17:E17"/>
    <mergeCell ref="B16:E16"/>
    <mergeCell ref="B15:E15"/>
    <mergeCell ref="B14:E14"/>
    <mergeCell ref="B11:E11"/>
    <mergeCell ref="I9:L9"/>
    <mergeCell ref="I10:L10"/>
    <mergeCell ref="I11:L11"/>
    <mergeCell ref="I12:L12"/>
    <mergeCell ref="I13:L13"/>
  </mergeCells>
  <dataValidations count="13">
    <dataValidation type="whole" allowBlank="1" showInputMessage="1" showErrorMessage="1" errorTitle="Restriction" error="Ne može biti više od 1.000.000 EUR" promptTitle="COSTSN" prompt="Unesi planirane troškove grupe pozicija" sqref="F9:F19">
      <formula1>0</formula1>
      <formula2>1000000</formula2>
    </dataValidation>
    <dataValidation type="whole" allowBlank="1" showInputMessage="1" showErrorMessage="1" errorTitle="Restriction" error="Maksimalni iznos do 100.000 EUR" promptTitle="Grant scheme" prompt="Unesi iznos granta ili učešća krajnjih korisnika ili sopstveni kapital javne ESCO kompanije" sqref="F22:F27">
      <formula1>0</formula1>
      <formula2>100000</formula2>
    </dataValidation>
    <dataValidation type="whole" allowBlank="1" showInputMessage="1" showErrorMessage="1" errorTitle="Restriction" error="Iznos ne može biti veći od 50.000 EUR godišnje" promptTitle="ESCOCOST" prompt="Iznos godišnjih troškova poslovanja ESCO koji se odnose na projekat. Preporučuje se vrednost do 1% od investicije." sqref="M9">
      <formula1>0</formula1>
      <formula2>50000</formula2>
    </dataValidation>
    <dataValidation type="decimal" allowBlank="1" showInputMessage="1" showErrorMessage="1" errorTitle="Restriction" error="Iznos ne može biti veći od 100%" promptTitle="ESCOFEE" prompt="Iznos godišnjih troškova prihoda ESCO od projekta. Ako se unese 100% smatra se da sav prihod od ušteda zadržava ESCO._x000a_Ako se unese manje od 100% onda razlika od unete vrednosti do 100% se dodeljuje krajnjim korisnicima." sqref="M10">
      <formula1>0</formula1>
      <formula2>1</formula2>
    </dataValidation>
    <dataValidation type="decimal" allowBlank="1" showInputMessage="1" showErrorMessage="1" errorTitle="Restriction" error="Iznos ne može biti veći od 10%" promptTitle="MAINCOST" prompt="Troškovi godišnjeg održavanja. Preporučuje se maksimalni iznos 10%." sqref="M11">
      <formula1>0</formula1>
      <formula2>0.1</formula2>
    </dataValidation>
    <dataValidation allowBlank="1" showInputMessage="1" showErrorMessage="1" errorTitle="Restriction" error="Iznos ne može biti veći od 7%" promptTitle="DA" prompt="Troškovi amortizacije prema računovodstvenim standardima - za toplinske pumpe ta stopa je 10%." sqref="M12"/>
    <dataValidation type="whole" allowBlank="1" showInputMessage="1" showErrorMessage="1" errorTitle="Restriction" error="Iznos ne može biti veći od 110 EUR/t CO2" promptTitle="CO2TAX" prompt="Preporučuje se iznos 55 EUR/t CO2." sqref="M14:M17">
      <formula1>0</formula1>
      <formula2>110</formula2>
    </dataValidation>
    <dataValidation type="whole" allowBlank="1" showInputMessage="1" showErrorMessage="1" errorTitle="Restriction" error="Maksimalno dozvoljen period 20 godina" promptTitle="GSTF" prompt="Preporučuje se period 12 do 15 godina za mere energetske efikasnosti u zgradama, a 15 do 20 godina za ostale projekte." sqref="M22">
      <formula1>0</formula1>
      <formula2>20</formula2>
    </dataValidation>
    <dataValidation type="whole" allowBlank="1" showInputMessage="1" showErrorMessage="1" errorTitle="Restriction" error="DOzvoljeno najviše 20 godina" promptTitle="Vremeski okvir projekta" sqref="M25">
      <formula1>0</formula1>
      <formula2>20</formula2>
    </dataValidation>
    <dataValidation allowBlank="1" showInputMessage="1" showErrorMessage="1" errorTitle="Restriction" error="Iznos ne može biti veći od 110 EUR/t CO2" promptTitle="CO2TAX" prompt="Iznos koji je važio na izabrani datum (11. april 2023. godine) jeste 97.,44 EUR/t CO2." sqref="M13"/>
    <dataValidation type="decimal" allowBlank="1" showInputMessage="1" showErrorMessage="1" errorTitle="Restriction" error="Dozvoljen iznos najviše 10%" promptTitle="DR" prompt="Preporučuje se društvena diskontna stopa od 6%. Kod finansijskih tokova diskontna stopa je ponderisana sredina kamatnih stopa (prinosa na kapital) uključenih kapitala, gde je ponder iznos uključenih kapitala." sqref="M19">
      <formula1>0</formula1>
      <formula2>0.1</formula2>
    </dataValidation>
    <dataValidation allowBlank="1" showInputMessage="1" showErrorMessage="1" errorTitle="Restriction" error="Nije dozvoljen iznos veći od 7.5%" promptTitle="IR" prompt="Kamatne stope se računaju tako da se doda kamatna stopa banke (najčešće 7.,5%) na iznos 3M Belibor (5.,58%) ili referentne kamatne stope NBS (6%). Ukupno je to uglavnom preko 13%. U ovom primeru uzeli smo kamatnu stopu od 12%." sqref="M20"/>
    <dataValidation allowBlank="1" showInputMessage="1" showErrorMessage="1" errorTitle="Restriction" error="Nije dozvoljen iznos veći od 7.5%" promptTitle="PP" prompt="Prosečan prinos na sopstveni kapital (profitna stopa) prosečno je iznosila za toplane u Srbiji 5.,83%." sqref="M21"/>
  </dataValidations>
  <hyperlinks>
    <hyperlink ref="O8:P9" location="Pocetna!M9" display="NAZAD"/>
    <hyperlink ref="O11:P12" location="EnergyCosts!B2" display="DALJE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errorTitle="Restriction" error="Prihvatljive su samo ponuđene opcije" promptTitle="Grant&amp;Equity" prompt="Šeme podsticaja (grantovi) i učešće sopstvenog kapitala u finansiranju mera EE i OIE">
          <x14:formula1>
            <xm:f>PomTab1!$O$7:$O$13</xm:f>
          </x14:formula1>
          <xm:sqref>B22:E27</xm:sqref>
        </x14:dataValidation>
        <x14:dataValidation type="list" allowBlank="1" showInputMessage="1" showErrorMessage="1" errorTitle="Restriction" error="Samo stavke ponuđene u listi" promptTitle="CO2 Tax" prompt="Iznos karbon takse">
          <x14:formula1>
            <xm:f>PomTab1!$O$15:$O$20</xm:f>
          </x14:formula1>
          <xm:sqref>I13:L17</xm:sqref>
        </x14:dataValidation>
        <x14:dataValidation type="list" allowBlank="1" showInputMessage="1" showErrorMessage="1" errorTitle="Restriction" error="Samo stavke ponuđene u listi" promptTitle="Operational costs" prompt="Godišnji operativni troškovi ESCO vezani za projekat">
          <x14:formula1>
            <xm:f>PomTab1!$O$15:$O$20</xm:f>
          </x14:formula1>
          <xm:sqref>I9:L9</xm:sqref>
        </x14:dataValidation>
        <x14:dataValidation type="list" allowBlank="1" showInputMessage="1" showErrorMessage="1" errorTitle="Restriction" error="Samo stavke ponuđene u listi" promptTitle="ESCO fee" prompt="Nadoknada/stimulacija koju ESCO odobrava krajnjim korisnicima">
          <x14:formula1>
            <xm:f>PomTab1!$O$15:$O$20</xm:f>
          </x14:formula1>
          <xm:sqref>I10:L10</xm:sqref>
        </x14:dataValidation>
        <x14:dataValidation type="list" allowBlank="1" showInputMessage="1" showErrorMessage="1" errorTitle="Restriction" error="Samo stavke ponuđene u listi" promptTitle="Meintenance cots" prompt="Troškovi godišnjeg održavanja">
          <x14:formula1>
            <xm:f>PomTab1!$O$15:$O$20</xm:f>
          </x14:formula1>
          <xm:sqref>I11:L11</xm:sqref>
        </x14:dataValidation>
        <x14:dataValidation type="list" allowBlank="1" showInputMessage="1" showErrorMessage="1" errorTitle="Restriction" error="Samo stavke ponuđene u listi" promptTitle="Amortization and depreciation" prompt="Amortizacija materijalnih dobara i deprecijacija intelektualne svojine">
          <x14:formula1>
            <xm:f>PomTab1!$O$15:$O$20</xm:f>
          </x14:formula1>
          <xm:sqref>I12:L12</xm:sqref>
        </x14:dataValidation>
        <x14:dataValidation type="list" allowBlank="1" showInputMessage="1" showErrorMessage="1" errorTitle="Restriction" error="Izabrati sa liste" promptTitle="FUELENERGY" prompt="Vrsta goriva ili energije">
          <x14:formula1>
            <xm:f>PomTab1!$O$29:$O$39</xm:f>
          </x14:formula1>
          <xm:sqref>M23</xm:sqref>
        </x14:dataValidation>
        <x14:dataValidation type="list" allowBlank="1" showInputMessage="1" showErrorMessage="1" errorTitle="Restriction" error="Moguće je uneti samo ponuđene opcije" promptTitle="Costs" prompt="Unesi troškove projekta">
          <x14:formula1>
            <xm:f>PomTab1!$I$7:$I$17</xm:f>
          </x14:formula1>
          <xm:sqref>B9:E19</xm:sqref>
        </x14:dataValidation>
        <x14:dataValidation type="list" allowBlank="1" showInputMessage="1" showErrorMessage="1" errorTitle="Restriction" error="Može se izabrati samo ponuđena opcija." promptTitle="Time frame" prompt="Ne popunjavati">
          <x14:formula1>
            <xm:f>PomTab1!$O$21:$O$27</xm:f>
          </x14:formula1>
          <xm:sqref>I25:L25</xm:sqref>
        </x14:dataValidation>
        <x14:dataValidation type="list" allowBlank="1" showInputMessage="1" showErrorMessage="1" errorTitle="Restriction" error="Može se izabrati samo ponuđena opcija." promptTitle="Interest rate" prompt="Kamatna stopa">
          <x14:formula1>
            <xm:f>PomTab1!$O$21:$O$27</xm:f>
          </x14:formula1>
          <xm:sqref>I20:I21 J20:L20</xm:sqref>
        </x14:dataValidation>
        <x14:dataValidation type="list" allowBlank="1" showInputMessage="1" showErrorMessage="1" errorTitle="Restriction" error="Može se izabrati samo ponuđena opcija." promptTitle="Discount rate" prompt="Diskontna stopa">
          <x14:formula1>
            <xm:f>PomTab1!$O$21:$O$27</xm:f>
          </x14:formula1>
          <xm:sqref>I19:L19</xm:sqref>
        </x14:dataValidation>
        <x14:dataValidation type="list" allowBlank="1" showInputMessage="1" showErrorMessage="1" errorTitle="Restriction" error="Može se izabrati samo ponuđena opcija." promptTitle="Pay-off period / garantee servic" prompt="Period otplate investicije ili period u kome se usluga ugovara">
          <x14:formula1>
            <xm:f>PomTab1!$O$21:$O$27</xm:f>
          </x14:formula1>
          <xm:sqref>I22:L22</xm:sqref>
        </x14:dataValidation>
        <x14:dataValidation type="list" allowBlank="1" showInputMessage="1" showErrorMessage="1" errorTitle="Restriction" error="Može se izabrati samo ponuđena opcija." promptTitle="Conversion factor" prompt="Faktor konverzije za izračunavanje emisije CO2">
          <x14:formula1>
            <xm:f>PomTab1!$O$21:$O$27</xm:f>
          </x14:formula1>
          <xm:sqref>I23:L24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Q17"/>
  <sheetViews>
    <sheetView workbookViewId="0">
      <selection activeCell="K20" sqref="K20"/>
    </sheetView>
  </sheetViews>
  <sheetFormatPr defaultRowHeight="15" x14ac:dyDescent="0.25"/>
  <cols>
    <col min="9" max="9" width="10.28515625" customWidth="1"/>
    <col min="10" max="10" width="14" customWidth="1"/>
    <col min="11" max="11" width="9.140625" customWidth="1"/>
  </cols>
  <sheetData>
    <row r="3" spans="2:17" ht="16.5" x14ac:dyDescent="0.35">
      <c r="F3" s="52" t="s">
        <v>136</v>
      </c>
      <c r="G3" s="52"/>
      <c r="H3" s="52"/>
      <c r="I3" s="52"/>
    </row>
    <row r="7" spans="2:17" ht="21" x14ac:dyDescent="0.35">
      <c r="B7" s="59" t="s">
        <v>91</v>
      </c>
      <c r="C7" s="59"/>
      <c r="D7" s="59"/>
      <c r="E7" s="59"/>
      <c r="F7" s="59"/>
      <c r="G7" s="59"/>
    </row>
    <row r="9" spans="2:17" x14ac:dyDescent="0.25">
      <c r="B9" s="63" t="s">
        <v>93</v>
      </c>
      <c r="C9" s="63"/>
      <c r="D9" s="63"/>
      <c r="E9" s="63"/>
      <c r="F9" s="63"/>
      <c r="G9" s="63"/>
      <c r="I9" s="6" t="s">
        <v>25</v>
      </c>
      <c r="J9" s="15">
        <f>J12*1.1</f>
        <v>22</v>
      </c>
      <c r="M9" s="56" t="s">
        <v>114</v>
      </c>
      <c r="N9" s="56"/>
      <c r="P9" s="57" t="s">
        <v>115</v>
      </c>
      <c r="Q9" s="57"/>
    </row>
    <row r="10" spans="2:17" x14ac:dyDescent="0.25">
      <c r="B10" s="63" t="s">
        <v>94</v>
      </c>
      <c r="C10" s="63"/>
      <c r="D10" s="63"/>
      <c r="E10" s="63"/>
      <c r="F10" s="63"/>
      <c r="G10" s="63"/>
      <c r="I10" s="6" t="s">
        <v>42</v>
      </c>
      <c r="J10" s="15">
        <f>12080</f>
        <v>12080</v>
      </c>
      <c r="M10" s="56"/>
      <c r="N10" s="56"/>
      <c r="P10" s="57"/>
      <c r="Q10" s="57"/>
    </row>
    <row r="11" spans="2:17" x14ac:dyDescent="0.25">
      <c r="B11" s="63" t="s">
        <v>95</v>
      </c>
      <c r="C11" s="63"/>
      <c r="D11" s="63"/>
      <c r="E11" s="63"/>
      <c r="F11" s="63"/>
      <c r="G11" s="63"/>
      <c r="I11" s="6" t="s">
        <v>42</v>
      </c>
      <c r="J11" s="15">
        <v>2473</v>
      </c>
      <c r="L11" s="19"/>
    </row>
    <row r="12" spans="2:17" x14ac:dyDescent="0.25">
      <c r="B12" s="63" t="s">
        <v>92</v>
      </c>
      <c r="C12" s="63"/>
      <c r="D12" s="63"/>
      <c r="E12" s="63"/>
      <c r="F12" s="63"/>
      <c r="G12" s="63"/>
      <c r="I12" s="6" t="s">
        <v>46</v>
      </c>
      <c r="J12" s="15">
        <v>20</v>
      </c>
    </row>
    <row r="13" spans="2:17" x14ac:dyDescent="0.25">
      <c r="B13" s="63" t="s">
        <v>96</v>
      </c>
      <c r="C13" s="63"/>
      <c r="D13" s="63"/>
      <c r="E13" s="63"/>
      <c r="F13" s="63"/>
      <c r="G13" s="63"/>
      <c r="I13" s="6" t="s">
        <v>97</v>
      </c>
      <c r="J13" s="25">
        <v>0.2</v>
      </c>
    </row>
    <row r="14" spans="2:17" x14ac:dyDescent="0.25">
      <c r="B14" s="63" t="s">
        <v>112</v>
      </c>
      <c r="C14" s="63"/>
      <c r="D14" s="63"/>
      <c r="E14" s="63"/>
      <c r="F14" s="63"/>
      <c r="G14" s="63"/>
      <c r="I14" s="6" t="s">
        <v>113</v>
      </c>
      <c r="J14" s="15">
        <v>173.63</v>
      </c>
    </row>
    <row r="15" spans="2:17" x14ac:dyDescent="0.25">
      <c r="B15" s="63" t="s">
        <v>108</v>
      </c>
      <c r="C15" s="63"/>
      <c r="D15" s="63"/>
      <c r="E15" s="63"/>
      <c r="F15" s="63"/>
      <c r="G15" s="63"/>
      <c r="I15" s="6" t="s">
        <v>97</v>
      </c>
      <c r="J15" s="25">
        <v>7.4999999999999997E-2</v>
      </c>
    </row>
    <row r="16" spans="2:17" x14ac:dyDescent="0.25">
      <c r="B16" s="68" t="s">
        <v>102</v>
      </c>
      <c r="C16" s="68"/>
      <c r="D16" s="68"/>
      <c r="E16" s="68"/>
      <c r="F16" s="68"/>
      <c r="G16" s="68"/>
    </row>
    <row r="17" spans="2:7" x14ac:dyDescent="0.25">
      <c r="B17" s="68"/>
      <c r="C17" s="68"/>
      <c r="D17" s="68"/>
      <c r="E17" s="68"/>
      <c r="F17" s="68"/>
      <c r="G17" s="68"/>
    </row>
  </sheetData>
  <sheetProtection selectLockedCells="1" selectUnlockedCells="1"/>
  <mergeCells count="12">
    <mergeCell ref="F3:I3"/>
    <mergeCell ref="B7:G7"/>
    <mergeCell ref="B10:G10"/>
    <mergeCell ref="B9:G9"/>
    <mergeCell ref="B14:G14"/>
    <mergeCell ref="B15:G15"/>
    <mergeCell ref="M9:N10"/>
    <mergeCell ref="P9:Q10"/>
    <mergeCell ref="B16:G17"/>
    <mergeCell ref="B13:G13"/>
    <mergeCell ref="B12:G12"/>
    <mergeCell ref="B11:G11"/>
  </mergeCells>
  <dataValidations count="1">
    <dataValidation type="decimal" allowBlank="1" showInputMessage="1" showErrorMessage="1" errorTitle="Restriction" error="Dozvoljene vrednosti do 10.000,00 RSD" promptTitle="EFEE" prompt="Prema cenovniku odobrenom od AERS" sqref="J11">
      <formula1>0</formula1>
      <formula2>10000</formula2>
    </dataValidation>
  </dataValidations>
  <hyperlinks>
    <hyperlink ref="M9:N10" location="UnosPodataka!O3" display="NAZAD"/>
    <hyperlink ref="P9:Q10" location="Annuity!B2" display="DALJE"/>
  </hyperlink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32"/>
  <sheetViews>
    <sheetView workbookViewId="0">
      <selection activeCell="G29" sqref="G29"/>
    </sheetView>
  </sheetViews>
  <sheetFormatPr defaultRowHeight="15" x14ac:dyDescent="0.25"/>
  <cols>
    <col min="3" max="3" width="32.140625" customWidth="1"/>
    <col min="4" max="4" width="32.28515625" customWidth="1"/>
    <col min="5" max="5" width="14.140625" customWidth="1"/>
  </cols>
  <sheetData>
    <row r="3" spans="2:13" ht="16.5" x14ac:dyDescent="0.35">
      <c r="D3" s="52" t="s">
        <v>136</v>
      </c>
      <c r="E3" s="52"/>
      <c r="F3" s="52"/>
      <c r="G3" s="52"/>
    </row>
    <row r="7" spans="2:13" ht="21" x14ac:dyDescent="0.35">
      <c r="B7" s="59" t="s">
        <v>103</v>
      </c>
      <c r="C7" s="59"/>
      <c r="D7" s="59"/>
      <c r="E7" s="59"/>
      <c r="F7" s="59"/>
      <c r="G7" s="59"/>
    </row>
    <row r="9" spans="2:13" x14ac:dyDescent="0.25">
      <c r="B9" t="s">
        <v>104</v>
      </c>
      <c r="D9" s="6" t="s">
        <v>1</v>
      </c>
      <c r="E9" s="16">
        <f>Loan</f>
        <v>12500</v>
      </c>
      <c r="I9" s="56" t="s">
        <v>114</v>
      </c>
      <c r="J9" s="56"/>
      <c r="L9" s="57" t="s">
        <v>115</v>
      </c>
      <c r="M9" s="57"/>
    </row>
    <row r="10" spans="2:13" x14ac:dyDescent="0.25">
      <c r="I10" s="56"/>
      <c r="J10" s="56"/>
      <c r="L10" s="57"/>
      <c r="M10" s="57"/>
    </row>
    <row r="11" spans="2:13" x14ac:dyDescent="0.25">
      <c r="B11" s="17" t="s">
        <v>26</v>
      </c>
      <c r="C11" s="17" t="s">
        <v>105</v>
      </c>
      <c r="D11" s="17" t="s">
        <v>106</v>
      </c>
      <c r="E11" s="17" t="s">
        <v>107</v>
      </c>
    </row>
    <row r="13" spans="2:13" x14ac:dyDescent="0.25">
      <c r="B13">
        <v>1</v>
      </c>
      <c r="C13" s="3">
        <f>E9</f>
        <v>12500</v>
      </c>
      <c r="D13" s="3">
        <f>IF(UnosPodataka!M20=0,"",UnosPodataka!$M$20*Annuity!$E$9)</f>
        <v>1500</v>
      </c>
      <c r="E13" s="3">
        <f>PMT(UnosPodataka!$M$20,UnosPodataka!$M$22,Annuity!$E$9)</f>
        <v>-2212.302051998051</v>
      </c>
    </row>
    <row r="14" spans="2:13" x14ac:dyDescent="0.25">
      <c r="B14">
        <f>IF(B13&lt;UnosPodataka!$M$22,B13+1,"")</f>
        <v>2</v>
      </c>
      <c r="C14" s="3">
        <f>IF(B14&lt;&gt;"",SUM(C13:E13),"")</f>
        <v>11787.697948001949</v>
      </c>
      <c r="D14" s="3">
        <f>IF(B14&lt;&gt;"",C14*UnosPodataka!$M$20,"")</f>
        <v>1414.5237537602338</v>
      </c>
      <c r="E14" s="3">
        <f>IF(B14&lt;&gt;"",PMT(UnosPodataka!$M$20,UnosPodataka!$M$22,Annuity!$E$9),"")</f>
        <v>-2212.302051998051</v>
      </c>
    </row>
    <row r="15" spans="2:13" x14ac:dyDescent="0.25">
      <c r="B15">
        <f>IF(B14&lt;UnosPodataka!$M$22,B14+1,"")</f>
        <v>3</v>
      </c>
      <c r="C15" s="3">
        <f t="shared" ref="C15:C32" si="0">IF(B15&lt;&gt;"",SUM(C14:E14),"")</f>
        <v>10989.919649764131</v>
      </c>
      <c r="D15" s="3">
        <f>IF(B15&lt;&gt;"",C15*UnosPodataka!$M$20,"")</f>
        <v>1318.7903579716958</v>
      </c>
      <c r="E15" s="3">
        <f>IF(B15&lt;&gt;"",PMT(UnosPodataka!$M$20,UnosPodataka!$M$22,Annuity!$E$9),"")</f>
        <v>-2212.302051998051</v>
      </c>
    </row>
    <row r="16" spans="2:13" x14ac:dyDescent="0.25">
      <c r="B16">
        <f>IF(B15&lt;UnosPodataka!$M$22,B15+1,"")</f>
        <v>4</v>
      </c>
      <c r="C16" s="3">
        <f t="shared" si="0"/>
        <v>10096.407955737775</v>
      </c>
      <c r="D16" s="3">
        <f>IF(B16&lt;&gt;"",C16*UnosPodataka!$M$20,"")</f>
        <v>1211.568954688533</v>
      </c>
      <c r="E16" s="3">
        <f>IF(B16&lt;&gt;"",PMT(UnosPodataka!$M$20,UnosPodataka!$M$22,Annuity!$E$9),"")</f>
        <v>-2212.302051998051</v>
      </c>
    </row>
    <row r="17" spans="2:5" x14ac:dyDescent="0.25">
      <c r="B17">
        <f>IF(B16&lt;UnosPodataka!$M$22,B16+1,"")</f>
        <v>5</v>
      </c>
      <c r="C17" s="3">
        <f t="shared" si="0"/>
        <v>9095.6748584282577</v>
      </c>
      <c r="D17" s="3">
        <f>IF(B17&lt;&gt;"",C17*UnosPodataka!$M$20,"")</f>
        <v>1091.4809830113909</v>
      </c>
      <c r="E17" s="3">
        <f>IF(B17&lt;&gt;"",PMT(UnosPodataka!$M$20,UnosPodataka!$M$22,Annuity!$E$9),"")</f>
        <v>-2212.302051998051</v>
      </c>
    </row>
    <row r="18" spans="2:5" x14ac:dyDescent="0.25">
      <c r="B18">
        <f>IF(B17&lt;UnosPodataka!$M$22,B17+1,"")</f>
        <v>6</v>
      </c>
      <c r="C18" s="3">
        <f t="shared" si="0"/>
        <v>7974.8537894415986</v>
      </c>
      <c r="D18" s="3">
        <f>IF(B18&lt;&gt;"",C18*UnosPodataka!$M$20,"")</f>
        <v>956.98245473299176</v>
      </c>
      <c r="E18" s="3">
        <f>IF(B18&lt;&gt;"",PMT(UnosPodataka!$M$20,UnosPodataka!$M$22,Annuity!$E$9),"")</f>
        <v>-2212.302051998051</v>
      </c>
    </row>
    <row r="19" spans="2:5" x14ac:dyDescent="0.25">
      <c r="B19">
        <f>IF(B18&lt;UnosPodataka!$M$22,B18+1,"")</f>
        <v>7</v>
      </c>
      <c r="C19" s="3">
        <f t="shared" si="0"/>
        <v>6719.5341921765394</v>
      </c>
      <c r="D19" s="3">
        <f>IF(B19&lt;&gt;"",C19*UnosPodataka!$M$20,"")</f>
        <v>806.34410306118468</v>
      </c>
      <c r="E19" s="3">
        <f>IF(B19&lt;&gt;"",PMT(UnosPodataka!$M$20,UnosPodataka!$M$22,Annuity!$E$9),"")</f>
        <v>-2212.302051998051</v>
      </c>
    </row>
    <row r="20" spans="2:5" x14ac:dyDescent="0.25">
      <c r="B20">
        <f>IF(B19&lt;UnosPodataka!$M$22,B19+1,"")</f>
        <v>8</v>
      </c>
      <c r="C20" s="3">
        <f t="shared" si="0"/>
        <v>5313.5762432396732</v>
      </c>
      <c r="D20" s="3">
        <f>IF(B20&lt;&gt;"",C20*UnosPodataka!$M$20,"")</f>
        <v>637.62914918876072</v>
      </c>
      <c r="E20" s="3">
        <f>IF(B20&lt;&gt;"",PMT(UnosPodataka!$M$20,UnosPodataka!$M$22,Annuity!$E$9),"")</f>
        <v>-2212.302051998051</v>
      </c>
    </row>
    <row r="21" spans="2:5" x14ac:dyDescent="0.25">
      <c r="B21">
        <f>IF(B20&lt;UnosPodataka!$M$22,B20+1,"")</f>
        <v>9</v>
      </c>
      <c r="C21" s="3">
        <f t="shared" si="0"/>
        <v>3738.9033404303827</v>
      </c>
      <c r="D21" s="3">
        <f>IF(B21&lt;&gt;"",C21*UnosPodataka!$M$20,"")</f>
        <v>448.66840085164591</v>
      </c>
      <c r="E21" s="3">
        <f>IF(B21&lt;&gt;"",PMT(UnosPodataka!$M$20,UnosPodataka!$M$22,Annuity!$E$9),"")</f>
        <v>-2212.302051998051</v>
      </c>
    </row>
    <row r="22" spans="2:5" x14ac:dyDescent="0.25">
      <c r="B22">
        <f>IF(B21&lt;UnosPodataka!$M$22,B21+1,"")</f>
        <v>10</v>
      </c>
      <c r="C22" s="3">
        <f t="shared" si="0"/>
        <v>1975.2696892839776</v>
      </c>
      <c r="D22" s="3">
        <f>IF(B22&lt;&gt;"",C22*UnosPodataka!$M$20,"")</f>
        <v>237.03236271407729</v>
      </c>
      <c r="E22" s="3">
        <f>IF(B22&lt;&gt;"",PMT(UnosPodataka!$M$20,UnosPodataka!$M$22,Annuity!$E$9),"")</f>
        <v>-2212.302051998051</v>
      </c>
    </row>
    <row r="23" spans="2:5" x14ac:dyDescent="0.25">
      <c r="B23" t="str">
        <f>IF(B22&lt;UnosPodataka!$M$22,B22+1,"")</f>
        <v/>
      </c>
      <c r="C23" s="3" t="str">
        <f t="shared" si="0"/>
        <v/>
      </c>
      <c r="D23" s="3" t="str">
        <f>IF(B23&lt;&gt;"",C23*UnosPodataka!$M$20,"")</f>
        <v/>
      </c>
      <c r="E23" s="3" t="str">
        <f>IF(B23&lt;&gt;"",PMT(UnosPodataka!$M$20,UnosPodataka!$M$22,Annuity!$E$9),"")</f>
        <v/>
      </c>
    </row>
    <row r="24" spans="2:5" x14ac:dyDescent="0.25">
      <c r="B24" t="str">
        <f>IF(B23&lt;UnosPodataka!$M$22,B23+1,"")</f>
        <v/>
      </c>
      <c r="C24" s="3" t="str">
        <f t="shared" si="0"/>
        <v/>
      </c>
      <c r="D24" s="3" t="str">
        <f>IF(B24&lt;&gt;"",C24*UnosPodataka!$M$20,"")</f>
        <v/>
      </c>
      <c r="E24" s="3" t="str">
        <f>IF(B24&lt;&gt;"",PMT(UnosPodataka!$M$20,UnosPodataka!$M$22,Annuity!$E$9),"")</f>
        <v/>
      </c>
    </row>
    <row r="25" spans="2:5" x14ac:dyDescent="0.25">
      <c r="B25" t="str">
        <f>IF(B24&lt;UnosPodataka!$M$22,B24+1,"")</f>
        <v/>
      </c>
      <c r="C25" s="3" t="str">
        <f t="shared" si="0"/>
        <v/>
      </c>
      <c r="D25" s="3" t="str">
        <f>IF(B25&lt;&gt;"",C25*UnosPodataka!$M$20,"")</f>
        <v/>
      </c>
      <c r="E25" s="3" t="str">
        <f>IF(B25&lt;&gt;"",PMT(UnosPodataka!$M$20,UnosPodataka!$M$22,Annuity!$E$9),"")</f>
        <v/>
      </c>
    </row>
    <row r="26" spans="2:5" x14ac:dyDescent="0.25">
      <c r="B26" t="str">
        <f>IF(B25&lt;UnosPodataka!$M$22,B25+1,"")</f>
        <v/>
      </c>
      <c r="C26" s="3" t="str">
        <f t="shared" si="0"/>
        <v/>
      </c>
      <c r="D26" s="3" t="str">
        <f>IF(B26&lt;&gt;"",C26*UnosPodataka!$M$20,"")</f>
        <v/>
      </c>
      <c r="E26" s="3" t="str">
        <f>IF(B26&lt;&gt;"",PMT(UnosPodataka!$M$20,UnosPodataka!$M$22,Annuity!$E$9),"")</f>
        <v/>
      </c>
    </row>
    <row r="27" spans="2:5" x14ac:dyDescent="0.25">
      <c r="B27" t="str">
        <f>IF(B26&lt;UnosPodataka!$M$22,B26+1,"")</f>
        <v/>
      </c>
      <c r="C27" s="3" t="str">
        <f t="shared" si="0"/>
        <v/>
      </c>
      <c r="D27" s="3" t="str">
        <f>IF(B27&lt;&gt;"",C27*UnosPodataka!$M$20,"")</f>
        <v/>
      </c>
      <c r="E27" s="3" t="str">
        <f>IF(B27&lt;&gt;"",PMT(UnosPodataka!$M$20,UnosPodataka!$M$22,Annuity!$E$9),"")</f>
        <v/>
      </c>
    </row>
    <row r="28" spans="2:5" x14ac:dyDescent="0.25">
      <c r="B28" t="str">
        <f>IF(B27&lt;UnosPodataka!$M$22,B27+1,"")</f>
        <v/>
      </c>
      <c r="C28" s="3" t="str">
        <f t="shared" si="0"/>
        <v/>
      </c>
      <c r="D28" s="3" t="str">
        <f>IF(B28&lt;&gt;"",C28*UnosPodataka!$M$20,"")</f>
        <v/>
      </c>
      <c r="E28" s="3" t="str">
        <f>IF(B28&lt;&gt;"",PMT(UnosPodataka!$M$20,UnosPodataka!$M$22,Annuity!$E$9),"")</f>
        <v/>
      </c>
    </row>
    <row r="29" spans="2:5" x14ac:dyDescent="0.25">
      <c r="B29" t="str">
        <f>IF(B28&lt;UnosPodataka!$M$22,B28+1,"")</f>
        <v/>
      </c>
      <c r="C29" s="3" t="str">
        <f t="shared" si="0"/>
        <v/>
      </c>
      <c r="D29" s="3" t="str">
        <f>IF(B29&lt;&gt;"",C29*UnosPodataka!$M$20,"")</f>
        <v/>
      </c>
      <c r="E29" s="3" t="str">
        <f>IF(B29&lt;&gt;"",PMT(UnosPodataka!$M$20,UnosPodataka!$M$22,Annuity!$E$9),"")</f>
        <v/>
      </c>
    </row>
    <row r="30" spans="2:5" x14ac:dyDescent="0.25">
      <c r="B30" t="str">
        <f>IF(B29&lt;UnosPodataka!$M$22,B29+1,"")</f>
        <v/>
      </c>
      <c r="C30" s="3" t="str">
        <f t="shared" si="0"/>
        <v/>
      </c>
      <c r="D30" s="3" t="str">
        <f>IF(B30&lt;&gt;"",C30*UnosPodataka!$M$20,"")</f>
        <v/>
      </c>
      <c r="E30" s="3" t="str">
        <f>IF(B30&lt;&gt;"",PMT(UnosPodataka!$M$20,UnosPodataka!$M$22,Annuity!$E$9),"")</f>
        <v/>
      </c>
    </row>
    <row r="31" spans="2:5" x14ac:dyDescent="0.25">
      <c r="B31" t="str">
        <f>IF(B30&lt;UnosPodataka!$M$22,B30+1,"")</f>
        <v/>
      </c>
      <c r="C31" s="3" t="str">
        <f t="shared" si="0"/>
        <v/>
      </c>
      <c r="D31" s="3" t="str">
        <f>IF(B31&lt;&gt;"",C31*UnosPodataka!$M$20,"")</f>
        <v/>
      </c>
      <c r="E31" s="3" t="str">
        <f>IF(B31&lt;&gt;"",PMT(UnosPodataka!$M$20,UnosPodataka!$M$22,Annuity!$E$9),"")</f>
        <v/>
      </c>
    </row>
    <row r="32" spans="2:5" x14ac:dyDescent="0.25">
      <c r="B32" t="str">
        <f>IF(B31&lt;UnosPodataka!$M$22,B31+1,"")</f>
        <v/>
      </c>
      <c r="C32" s="3" t="str">
        <f t="shared" si="0"/>
        <v/>
      </c>
      <c r="D32" s="3" t="str">
        <f>IF(B32&lt;&gt;"",C32*UnosPodataka!$M$20,"")</f>
        <v/>
      </c>
      <c r="E32" s="3" t="str">
        <f>IF(B32&lt;&gt;"",PMT(UnosPodataka!$M$20,UnosPodataka!$M$22,Annuity!$E$9),"")</f>
        <v/>
      </c>
    </row>
  </sheetData>
  <sheetProtection selectLockedCells="1" selectUnlockedCells="1"/>
  <mergeCells count="4">
    <mergeCell ref="B7:G7"/>
    <mergeCell ref="I9:J10"/>
    <mergeCell ref="L9:M10"/>
    <mergeCell ref="D3:G3"/>
  </mergeCells>
  <hyperlinks>
    <hyperlink ref="I9:J10" location="EnergyCosts!N4" display="NAZAD"/>
    <hyperlink ref="L9:M10" location="Fina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Z62"/>
  <sheetViews>
    <sheetView showZeros="0" zoomScale="80" zoomScaleNormal="80" workbookViewId="0">
      <selection activeCell="F22" sqref="F22"/>
    </sheetView>
  </sheetViews>
  <sheetFormatPr defaultRowHeight="15" x14ac:dyDescent="0.25"/>
  <cols>
    <col min="4" max="4" width="15.7109375" customWidth="1"/>
    <col min="5" max="5" width="12.140625" customWidth="1"/>
    <col min="6" max="6" width="11.85546875" customWidth="1"/>
    <col min="7" max="8" width="11.28515625" customWidth="1"/>
    <col min="9" max="9" width="10.7109375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2.5703125" customWidth="1"/>
    <col min="19" max="19" width="11.85546875" customWidth="1"/>
    <col min="20" max="20" width="12" customWidth="1"/>
    <col min="21" max="21" width="12.28515625" customWidth="1"/>
    <col min="22" max="22" width="11.28515625" customWidth="1"/>
    <col min="23" max="23" width="12.28515625" customWidth="1"/>
    <col min="24" max="24" width="12.7109375" customWidth="1"/>
    <col min="25" max="25" width="11.42578125" customWidth="1"/>
  </cols>
  <sheetData>
    <row r="3" spans="1:25" ht="16.5" x14ac:dyDescent="0.35">
      <c r="E3" s="52" t="s">
        <v>136</v>
      </c>
      <c r="F3" s="52"/>
      <c r="G3" s="52"/>
      <c r="H3" s="52"/>
    </row>
    <row r="7" spans="1:25" ht="21" x14ac:dyDescent="0.35">
      <c r="A7" s="59" t="s">
        <v>27</v>
      </c>
      <c r="B7" s="59"/>
      <c r="C7" s="59"/>
      <c r="D7" s="59"/>
      <c r="I7" s="56" t="s">
        <v>114</v>
      </c>
      <c r="J7" s="56"/>
      <c r="N7" s="57" t="s">
        <v>115</v>
      </c>
      <c r="O7" s="57"/>
    </row>
    <row r="9" spans="1:25" x14ac:dyDescent="0.25">
      <c r="A9" s="55" t="s">
        <v>11</v>
      </c>
      <c r="B9" s="55"/>
      <c r="C9" s="55"/>
      <c r="D9" s="55"/>
      <c r="E9" s="17">
        <v>0</v>
      </c>
      <c r="F9" s="17">
        <v>1</v>
      </c>
      <c r="G9" s="17">
        <f>IF(F9&lt;UnosPodataka!$M$25,FinaIndicators!F9+1,"")</f>
        <v>2</v>
      </c>
      <c r="H9" s="17">
        <f>IF(G9&lt;UnosPodataka!$M$25,FinaIndicators!G9+1,"")</f>
        <v>3</v>
      </c>
      <c r="I9" s="17">
        <f>IF(H9&lt;UnosPodataka!$M$25,FinaIndicators!H9+1,"")</f>
        <v>4</v>
      </c>
      <c r="J9" s="17">
        <f>IF(I9&lt;UnosPodataka!$M$25,FinaIndicators!I9+1,"")</f>
        <v>5</v>
      </c>
      <c r="K9" s="17">
        <f>IF(J9&lt;UnosPodataka!$M$25,FinaIndicators!J9+1,"")</f>
        <v>6</v>
      </c>
      <c r="L9" s="17">
        <f>IF(K9&lt;UnosPodataka!$M$25,FinaIndicators!K9+1,"")</f>
        <v>7</v>
      </c>
      <c r="M9" s="17">
        <f>IF(L9&lt;UnosPodataka!$M$25,FinaIndicators!L9+1,"")</f>
        <v>8</v>
      </c>
      <c r="N9" s="17">
        <f>IF(M9&lt;UnosPodataka!$M$25,FinaIndicators!M9+1,"")</f>
        <v>9</v>
      </c>
      <c r="O9" s="17">
        <f>IF(N9&lt;UnosPodataka!$M$25,FinaIndicators!N9+1,"")</f>
        <v>10</v>
      </c>
      <c r="P9" s="17">
        <f>IF(O9&lt;UnosPodataka!$M$25,FinaIndicators!O9+1,"")</f>
        <v>11</v>
      </c>
      <c r="Q9" s="17">
        <f>IF(P9&lt;UnosPodataka!$M$25,FinaIndicators!P9+1,"")</f>
        <v>12</v>
      </c>
      <c r="R9" s="17">
        <f>IF(Q9&lt;UnosPodataka!$M$25,FinaIndicators!Q9+1,"")</f>
        <v>13</v>
      </c>
      <c r="S9" s="17">
        <f>IF(R9&lt;UnosPodataka!$M$25,FinaIndicators!R9+1,"")</f>
        <v>14</v>
      </c>
      <c r="T9" s="17">
        <f>IF(S9&lt;UnosPodataka!$M$25,FinaIndicators!S9+1,"")</f>
        <v>15</v>
      </c>
      <c r="U9" s="17">
        <f>IF(T9&lt;UnosPodataka!$M$25,FinaIndicators!T9+1,"")</f>
        <v>16</v>
      </c>
      <c r="V9" s="17">
        <f>IF(U9&lt;UnosPodataka!$M$25,FinaIndicators!U9+1,"")</f>
        <v>17</v>
      </c>
      <c r="W9" s="17">
        <f>IF(V9&lt;UnosPodataka!$M$25,FinaIndicators!V9+1,"")</f>
        <v>18</v>
      </c>
      <c r="X9" s="17">
        <f>IF(W9&lt;UnosPodataka!$M$25,FinaIndicators!W9+1,"")</f>
        <v>19</v>
      </c>
      <c r="Y9" s="17">
        <f>IF(X9&lt;UnosPodataka!$M$25,FinaIndicators!X9+1,"")</f>
        <v>20</v>
      </c>
    </row>
    <row r="11" spans="1:25" x14ac:dyDescent="0.25">
      <c r="A11" s="63" t="s">
        <v>41</v>
      </c>
      <c r="B11" s="63"/>
      <c r="C11" s="63"/>
      <c r="D11" s="63"/>
      <c r="E11" s="3">
        <f>Loan</f>
        <v>12500</v>
      </c>
    </row>
    <row r="12" spans="1:25" x14ac:dyDescent="0.25">
      <c r="A12" s="63" t="s">
        <v>29</v>
      </c>
      <c r="B12" s="63"/>
      <c r="C12" s="63"/>
      <c r="D12" s="63"/>
      <c r="E12" s="3">
        <f>IF(Equity=0,Loan,Equity)</f>
        <v>5000</v>
      </c>
    </row>
    <row r="13" spans="1:25" x14ac:dyDescent="0.25">
      <c r="A13" s="63" t="s">
        <v>138</v>
      </c>
      <c r="B13" s="63"/>
      <c r="C13" s="63"/>
      <c r="D13" s="63"/>
      <c r="E13" s="3">
        <f>+PomTab1!K22</f>
        <v>5000</v>
      </c>
    </row>
    <row r="14" spans="1:25" x14ac:dyDescent="0.25">
      <c r="A14" s="63" t="s">
        <v>47</v>
      </c>
      <c r="B14" s="63"/>
      <c r="C14" s="63"/>
      <c r="D14" s="63"/>
      <c r="F14" s="3">
        <f t="shared" ref="F14:Y14" si="0">IF(F9&lt;&gt;"",EPROD*(1-0.01)^E9,"")</f>
        <v>22</v>
      </c>
      <c r="G14" s="3">
        <f t="shared" si="0"/>
        <v>21.78</v>
      </c>
      <c r="H14" s="3">
        <f t="shared" si="0"/>
        <v>21.562200000000001</v>
      </c>
      <c r="I14" s="3">
        <f t="shared" si="0"/>
        <v>21.346577999999997</v>
      </c>
      <c r="J14" s="3">
        <f t="shared" si="0"/>
        <v>21.133112219999997</v>
      </c>
      <c r="K14" s="3">
        <f t="shared" si="0"/>
        <v>20.921781097799997</v>
      </c>
      <c r="L14" s="3">
        <f t="shared" si="0"/>
        <v>20.712563286821997</v>
      </c>
      <c r="M14" s="3">
        <f t="shared" si="0"/>
        <v>20.505437653953777</v>
      </c>
      <c r="N14" s="3">
        <f t="shared" si="0"/>
        <v>20.300383277414237</v>
      </c>
      <c r="O14" s="3">
        <f t="shared" si="0"/>
        <v>20.097379444640097</v>
      </c>
      <c r="P14" s="3">
        <f t="shared" si="0"/>
        <v>19.896405650193696</v>
      </c>
      <c r="Q14" s="3">
        <f t="shared" si="0"/>
        <v>19.697441593691757</v>
      </c>
      <c r="R14" s="3">
        <f t="shared" si="0"/>
        <v>19.500467177754842</v>
      </c>
      <c r="S14" s="3">
        <f t="shared" si="0"/>
        <v>19.305462505977289</v>
      </c>
      <c r="T14" s="3">
        <f t="shared" si="0"/>
        <v>19.11240788091752</v>
      </c>
      <c r="U14" s="3">
        <f t="shared" si="0"/>
        <v>18.921283802108341</v>
      </c>
      <c r="V14" s="3">
        <f t="shared" si="0"/>
        <v>18.73207096408726</v>
      </c>
      <c r="W14" s="3">
        <f t="shared" si="0"/>
        <v>18.544750254446384</v>
      </c>
      <c r="X14" s="3">
        <f t="shared" si="0"/>
        <v>18.359302751901922</v>
      </c>
      <c r="Y14" s="3">
        <f t="shared" si="0"/>
        <v>18.175709724382902</v>
      </c>
    </row>
    <row r="15" spans="1:25" x14ac:dyDescent="0.25">
      <c r="A15" s="67"/>
      <c r="B15" s="67"/>
      <c r="C15" s="67"/>
      <c r="D15" s="67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25" x14ac:dyDescent="0.25">
      <c r="A16" s="55" t="s">
        <v>139</v>
      </c>
      <c r="B16" s="55"/>
      <c r="C16" s="55"/>
      <c r="D16" s="55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x14ac:dyDescent="0.25">
      <c r="A17" s="63" t="s">
        <v>152</v>
      </c>
      <c r="B17" s="63"/>
      <c r="C17" s="63"/>
      <c r="D17" s="63"/>
      <c r="F17" s="3">
        <f t="shared" ref="F17:Y17" si="1">IF(F9&lt;&gt;"",F14*ECOST/Kurs_EUR,"")</f>
        <v>2265.8754518791352</v>
      </c>
      <c r="G17" s="3">
        <f t="shared" si="1"/>
        <v>2243.2166973603439</v>
      </c>
      <c r="H17" s="3">
        <f t="shared" si="1"/>
        <v>2220.7845303867407</v>
      </c>
      <c r="I17" s="3">
        <f t="shared" si="1"/>
        <v>2198.5766850828727</v>
      </c>
      <c r="J17" s="3">
        <f t="shared" si="1"/>
        <v>2176.5909182320443</v>
      </c>
      <c r="K17" s="3">
        <f t="shared" si="1"/>
        <v>2154.8250090497236</v>
      </c>
      <c r="L17" s="3">
        <f t="shared" si="1"/>
        <v>2133.2767589592263</v>
      </c>
      <c r="M17" s="3">
        <f t="shared" si="1"/>
        <v>2111.9439913696342</v>
      </c>
      <c r="N17" s="3">
        <f t="shared" si="1"/>
        <v>2090.8245514559376</v>
      </c>
      <c r="O17" s="3">
        <f t="shared" si="1"/>
        <v>2069.9163059413781</v>
      </c>
      <c r="P17" s="3">
        <f t="shared" si="1"/>
        <v>2049.2171428819647</v>
      </c>
      <c r="Q17" s="3">
        <f t="shared" si="1"/>
        <v>2028.7249714531445</v>
      </c>
      <c r="R17" s="3">
        <f t="shared" si="1"/>
        <v>2008.4377217386136</v>
      </c>
      <c r="S17" s="3">
        <f t="shared" si="1"/>
        <v>1988.3533445212267</v>
      </c>
      <c r="T17" s="3">
        <f t="shared" si="1"/>
        <v>1968.4698110760148</v>
      </c>
      <c r="U17" s="3">
        <f t="shared" si="1"/>
        <v>1948.7851129652545</v>
      </c>
      <c r="V17" s="3">
        <f t="shared" si="1"/>
        <v>1929.2972618356021</v>
      </c>
      <c r="W17" s="3">
        <f t="shared" si="1"/>
        <v>1910.004289217246</v>
      </c>
      <c r="X17" s="3">
        <f t="shared" si="1"/>
        <v>1890.9042463250735</v>
      </c>
      <c r="Y17" s="3">
        <f t="shared" si="1"/>
        <v>1871.9952038618226</v>
      </c>
    </row>
    <row r="18" spans="1:25" x14ac:dyDescent="0.25">
      <c r="A18" s="69" t="s">
        <v>140</v>
      </c>
      <c r="B18" s="69"/>
      <c r="C18" s="69"/>
      <c r="D18" s="69"/>
      <c r="E18" s="28"/>
      <c r="F18" s="29">
        <f t="shared" ref="F18:Y18" si="2">IF(F9&lt;&gt;"",F17,"")</f>
        <v>2265.8754518791352</v>
      </c>
      <c r="G18" s="29">
        <f t="shared" si="2"/>
        <v>2243.2166973603439</v>
      </c>
      <c r="H18" s="29">
        <f t="shared" si="2"/>
        <v>2220.7845303867407</v>
      </c>
      <c r="I18" s="29">
        <f t="shared" si="2"/>
        <v>2198.5766850828727</v>
      </c>
      <c r="J18" s="29">
        <f t="shared" si="2"/>
        <v>2176.5909182320443</v>
      </c>
      <c r="K18" s="29">
        <f t="shared" si="2"/>
        <v>2154.8250090497236</v>
      </c>
      <c r="L18" s="29">
        <f t="shared" si="2"/>
        <v>2133.2767589592263</v>
      </c>
      <c r="M18" s="29">
        <f t="shared" si="2"/>
        <v>2111.9439913696342</v>
      </c>
      <c r="N18" s="29">
        <f t="shared" si="2"/>
        <v>2090.8245514559376</v>
      </c>
      <c r="O18" s="29">
        <f t="shared" si="2"/>
        <v>2069.9163059413781</v>
      </c>
      <c r="P18" s="29">
        <f t="shared" si="2"/>
        <v>2049.2171428819647</v>
      </c>
      <c r="Q18" s="29">
        <f t="shared" si="2"/>
        <v>2028.7249714531445</v>
      </c>
      <c r="R18" s="29">
        <f t="shared" si="2"/>
        <v>2008.4377217386136</v>
      </c>
      <c r="S18" s="29">
        <f t="shared" si="2"/>
        <v>1988.3533445212267</v>
      </c>
      <c r="T18" s="29">
        <f t="shared" si="2"/>
        <v>1968.4698110760148</v>
      </c>
      <c r="U18" s="29">
        <f t="shared" si="2"/>
        <v>1948.7851129652545</v>
      </c>
      <c r="V18" s="29">
        <f t="shared" si="2"/>
        <v>1929.2972618356021</v>
      </c>
      <c r="W18" s="29">
        <f t="shared" si="2"/>
        <v>1910.004289217246</v>
      </c>
      <c r="X18" s="29">
        <f t="shared" si="2"/>
        <v>1890.9042463250735</v>
      </c>
      <c r="Y18" s="29">
        <f t="shared" si="2"/>
        <v>1871.9952038618226</v>
      </c>
    </row>
    <row r="19" spans="1:25" x14ac:dyDescent="0.25">
      <c r="A19" s="67"/>
      <c r="B19" s="67"/>
      <c r="C19" s="67"/>
      <c r="D19" s="67"/>
    </row>
    <row r="20" spans="1:25" x14ac:dyDescent="0.25">
      <c r="A20" s="55" t="s">
        <v>141</v>
      </c>
      <c r="B20" s="55"/>
      <c r="C20" s="55"/>
      <c r="D20" s="55"/>
    </row>
    <row r="21" spans="1:25" x14ac:dyDescent="0.25">
      <c r="A21" s="63" t="s">
        <v>142</v>
      </c>
      <c r="B21" s="63"/>
      <c r="C21" s="63"/>
      <c r="D21" s="63"/>
      <c r="F21" s="3">
        <f>IF(F9&gt;UnosPodataka!$M$22,"",-VLOOKUP(F9,Annuity!$B$13:$E$32,3,FALSE))</f>
        <v>-1500</v>
      </c>
      <c r="G21" s="3">
        <f>IF(G9&gt;UnosPodataka!$M$22,"",-VLOOKUP(G9,Annuity!$B$13:$E$32,3,FALSE))</f>
        <v>-1414.5237537602338</v>
      </c>
      <c r="H21" s="3">
        <f>IF(H9&gt;UnosPodataka!$M$22,"",-VLOOKUP(H9,Annuity!$B$13:$E$32,3,FALSE))</f>
        <v>-1318.7903579716958</v>
      </c>
      <c r="I21" s="3">
        <f>IF(I9&gt;UnosPodataka!$M$22,"",-VLOOKUP(I9,Annuity!$B$13:$E$32,3,FALSE))</f>
        <v>-1211.568954688533</v>
      </c>
      <c r="J21" s="3">
        <f>IF(J9&gt;UnosPodataka!$M$22,"",-VLOOKUP(J9,Annuity!$B$13:$E$32,3,FALSE))</f>
        <v>-1091.4809830113909</v>
      </c>
      <c r="K21" s="3">
        <f>IF(K9&gt;UnosPodataka!$M$22,"",-VLOOKUP(K9,Annuity!$B$13:$E$32,3,FALSE))</f>
        <v>-956.98245473299176</v>
      </c>
      <c r="L21" s="3">
        <f>IF(L9&gt;UnosPodataka!$M$22,"",-VLOOKUP(L9,Annuity!$B$13:$E$32,3,FALSE))</f>
        <v>-806.34410306118468</v>
      </c>
      <c r="M21" s="3">
        <f>IF(M9&gt;UnosPodataka!$M$22,"",-VLOOKUP(M9,Annuity!$B$13:$E$32,3,FALSE))</f>
        <v>-637.62914918876072</v>
      </c>
      <c r="N21" s="3">
        <f>IF(N9&gt;UnosPodataka!$M$22,"",-VLOOKUP(N9,Annuity!$B$13:$E$32,3,FALSE))</f>
        <v>-448.66840085164591</v>
      </c>
      <c r="O21" s="3">
        <f>IF(O9&gt;UnosPodataka!$M$22,"",-VLOOKUP(O9,Annuity!$B$13:$E$32,3,FALSE))</f>
        <v>-237.03236271407729</v>
      </c>
      <c r="P21" s="3" t="str">
        <f>IF(P9&gt;UnosPodataka!$M$22,"",-VLOOKUP(P9,Annuity!$B$13:$E$32,3,FALSE))</f>
        <v/>
      </c>
      <c r="Q21" s="3" t="str">
        <f>IF(Q9&gt;UnosPodataka!$M$22,"",-VLOOKUP(Q9,Annuity!$B$13:$E$32,3,FALSE))</f>
        <v/>
      </c>
      <c r="R21" s="3" t="str">
        <f>IF(R9&gt;UnosPodataka!$M$22,"",-VLOOKUP(R9,Annuity!$B$13:$E$32,3,FALSE))</f>
        <v/>
      </c>
      <c r="S21" s="3" t="str">
        <f>IF(S9&gt;UnosPodataka!$M$22,"",-VLOOKUP(S9,Annuity!$B$13:$E$32,3,FALSE))</f>
        <v/>
      </c>
      <c r="T21" s="3" t="str">
        <f>IF(T9&gt;UnosPodataka!$M$22,"",-VLOOKUP(T9,Annuity!$B$13:$E$32,3,FALSE))</f>
        <v/>
      </c>
      <c r="U21" s="3" t="str">
        <f>IF(U9&gt;UnosPodataka!$M$22,"",-VLOOKUP(U9,Annuity!$B$13:$E$32,3,FALSE))</f>
        <v/>
      </c>
      <c r="V21" s="3" t="str">
        <f>IF(V9&gt;UnosPodataka!$M$22,"",-VLOOKUP(V9,Annuity!$B$13:$E$32,3,FALSE))</f>
        <v/>
      </c>
      <c r="W21" s="3" t="str">
        <f>IF(W9&gt;UnosPodataka!$M$22,"",-VLOOKUP(W9,Annuity!$B$13:$E$32,3,FALSE))</f>
        <v/>
      </c>
      <c r="X21" s="3" t="str">
        <f>IF(X9&gt;UnosPodataka!$M$22,"",-VLOOKUP(X9,Annuity!$B$13:$E$32,3,FALSE))</f>
        <v/>
      </c>
      <c r="Y21" s="3" t="str">
        <f>IF(Y9&gt;UnosPodataka!$M$22,"",-VLOOKUP(Y9,Annuity!$B$13:$E$32,3,FALSE))</f>
        <v/>
      </c>
    </row>
    <row r="22" spans="1:25" x14ac:dyDescent="0.25">
      <c r="A22" s="23" t="s">
        <v>143</v>
      </c>
      <c r="B22" s="23"/>
      <c r="C22" s="23"/>
      <c r="D22" s="23"/>
      <c r="F22" s="3">
        <f>IF(F21="",0,IF(F9&gt;UnosPodataka!$M$22,"",VLOOKUP(F9,Annuity!$B$13:$E$32,4,FALSE)+VLOOKUP(F9,Annuity!$B$13:$E$32,3,FALSE)))</f>
        <v>-712.30205199805096</v>
      </c>
      <c r="G22" s="3">
        <f>IF(G21="",0,IF(G9&gt;UnosPodataka!$M$22,"",VLOOKUP(G9,Annuity!$B$13:$E$32,4,FALSE)+VLOOKUP(G9,Annuity!$B$13:$E$32,3,FALSE)))</f>
        <v>-797.77829823781713</v>
      </c>
      <c r="H22" s="3">
        <f>IF(H21="",0,IF(H9&gt;UnosPodataka!$M$22,"",VLOOKUP(H9,Annuity!$B$13:$E$32,4,FALSE)+VLOOKUP(H9,Annuity!$B$13:$E$32,3,FALSE)))</f>
        <v>-893.51169402635514</v>
      </c>
      <c r="I22" s="3">
        <f>IF(I21="",0,IF(I9&gt;UnosPodataka!$M$22,"",VLOOKUP(I9,Annuity!$B$13:$E$32,4,FALSE)+VLOOKUP(I9,Annuity!$B$13:$E$32,3,FALSE)))</f>
        <v>-1000.7330973095179</v>
      </c>
      <c r="J22" s="3">
        <f>IF(J21="",0,IF(J9&gt;UnosPodataka!$M$22,"",VLOOKUP(J9,Annuity!$B$13:$E$32,4,FALSE)+VLOOKUP(J9,Annuity!$B$13:$E$32,3,FALSE)))</f>
        <v>-1120.8210689866601</v>
      </c>
      <c r="K22" s="3">
        <f>IF(K21="",0,IF(K9&gt;UnosPodataka!$M$22,"",VLOOKUP(K9,Annuity!$B$13:$E$32,4,FALSE)+VLOOKUP(K9,Annuity!$B$13:$E$32,3,FALSE)))</f>
        <v>-1255.3195972650592</v>
      </c>
      <c r="L22" s="3">
        <f>IF(L21="",0,IF(L9&gt;UnosPodataka!$M$22,"",VLOOKUP(L9,Annuity!$B$13:$E$32,4,FALSE)+VLOOKUP(L9,Annuity!$B$13:$E$32,3,FALSE)))</f>
        <v>-1405.9579489368662</v>
      </c>
      <c r="M22" s="3">
        <f>IF(M21="",0,IF(M9&gt;UnosPodataka!$M$22,"",VLOOKUP(M9,Annuity!$B$13:$E$32,4,FALSE)+VLOOKUP(M9,Annuity!$B$13:$E$32,3,FALSE)))</f>
        <v>-1574.6729028092902</v>
      </c>
      <c r="N22" s="3">
        <f>IF(N21="",0,IF(N9&gt;UnosPodataka!$M$22,"",VLOOKUP(N9,Annuity!$B$13:$E$32,4,FALSE)+VLOOKUP(N9,Annuity!$B$13:$E$32,3,FALSE)))</f>
        <v>-1763.6336511464051</v>
      </c>
      <c r="O22" s="3">
        <f>IF(O21="",0,IF(O9&gt;UnosPodataka!$M$22,"",VLOOKUP(O9,Annuity!$B$13:$E$32,4,FALSE)+VLOOKUP(O9,Annuity!$B$13:$E$32,3,FALSE)))</f>
        <v>-1975.2696892839735</v>
      </c>
      <c r="P22" s="3">
        <f>IF(P21="",0,IF(P9&gt;UnosPodataka!$M$22,"",VLOOKUP(P9,Annuity!$B$13:$E$32,4,FALSE)+VLOOKUP(P9,Annuity!$B$13:$E$32,3,FALSE)))</f>
        <v>0</v>
      </c>
      <c r="Q22" s="3">
        <f>IF(Q21="",0,IF(Q9&gt;UnosPodataka!$M$22,"",VLOOKUP(Q9,Annuity!$B$13:$E$32,4,FALSE)+VLOOKUP(Q9,Annuity!$B$13:$E$32,3,FALSE)))</f>
        <v>0</v>
      </c>
      <c r="R22" s="3">
        <f>IF(R21="",0,IF(R9&gt;UnosPodataka!$M$22,"",VLOOKUP(R9,Annuity!$B$13:$E$32,4,FALSE)+VLOOKUP(R9,Annuity!$B$13:$E$32,3,FALSE)))</f>
        <v>0</v>
      </c>
      <c r="S22" s="3">
        <f>IF(S21="",0,IF(S9&gt;UnosPodataka!$M$22,"",VLOOKUP(S9,Annuity!$B$13:$E$32,4,FALSE)+VLOOKUP(S9,Annuity!$B$13:$E$32,3,FALSE)))</f>
        <v>0</v>
      </c>
      <c r="T22" s="3">
        <f>IF(T21="",0,IF(T9&gt;UnosPodataka!$M$22,"",VLOOKUP(T9,Annuity!$B$13:$E$32,4,FALSE)+VLOOKUP(T9,Annuity!$B$13:$E$32,3,FALSE)))</f>
        <v>0</v>
      </c>
      <c r="U22" s="3">
        <f>IF(U21="",0,IF(U9&gt;UnosPodataka!$M$22,"",VLOOKUP(U9,Annuity!$B$13:$E$32,4,FALSE)+VLOOKUP(U9,Annuity!$B$13:$E$32,3,FALSE)))</f>
        <v>0</v>
      </c>
      <c r="V22" s="3">
        <f>IF(V21="",0,IF(V9&gt;UnosPodataka!$M$22,"",VLOOKUP(V9,Annuity!$B$13:$E$32,4,FALSE)+VLOOKUP(V9,Annuity!$B$13:$E$32,3,FALSE)))</f>
        <v>0</v>
      </c>
      <c r="W22" s="3">
        <f>IF(W21="",0,IF(W9&gt;UnosPodataka!$M$22,"",VLOOKUP(W9,Annuity!$B$13:$E$32,4,FALSE)+VLOOKUP(W9,Annuity!$B$13:$E$32,3,FALSE)))</f>
        <v>0</v>
      </c>
      <c r="X22" s="3">
        <f>IF(X21="",0,IF(X9&gt;UnosPodataka!$M$22,"",VLOOKUP(X9,Annuity!$B$13:$E$32,4,FALSE)+VLOOKUP(X9,Annuity!$B$13:$E$32,3,FALSE)))</f>
        <v>0</v>
      </c>
      <c r="Y22" s="3">
        <f>IF(Y21="",0,IF(Y9&gt;UnosPodataka!$M$22,"",VLOOKUP(Y9,Annuity!$B$13:$E$32,4,FALSE)+VLOOKUP(Y9,Annuity!$B$13:$E$32,3,FALSE)))</f>
        <v>0</v>
      </c>
    </row>
    <row r="23" spans="1:25" x14ac:dyDescent="0.25">
      <c r="A23" s="63" t="s">
        <v>144</v>
      </c>
      <c r="B23" s="63"/>
      <c r="C23" s="63"/>
      <c r="D23" s="63"/>
      <c r="F23" s="3">
        <f>IF(F9&lt;&gt;"",-UnosPodataka!$M$9,"")</f>
        <v>-100</v>
      </c>
      <c r="G23" s="3">
        <f>IF(G9&lt;&gt;"",-UnosPodataka!$M$9,"")</f>
        <v>-100</v>
      </c>
      <c r="H23" s="3">
        <f>IF(H9&lt;&gt;"",-UnosPodataka!$M$9,"")</f>
        <v>-100</v>
      </c>
      <c r="I23" s="3">
        <f>IF(I9&lt;&gt;"",-UnosPodataka!$M$9,"")</f>
        <v>-100</v>
      </c>
      <c r="J23" s="3">
        <f>IF(J9&lt;&gt;"",-UnosPodataka!$M$9,"")</f>
        <v>-100</v>
      </c>
      <c r="K23" s="3">
        <f>IF(K9&lt;&gt;"",-UnosPodataka!$M$9,"")</f>
        <v>-100</v>
      </c>
      <c r="L23" s="3">
        <f>IF(L9&lt;&gt;"",-UnosPodataka!$M$9,"")</f>
        <v>-100</v>
      </c>
      <c r="M23" s="3">
        <f>IF(M9&lt;&gt;"",-UnosPodataka!$M$9,"")</f>
        <v>-100</v>
      </c>
      <c r="N23" s="3">
        <f>IF(N9&lt;&gt;"",-UnosPodataka!$M$9,"")</f>
        <v>-100</v>
      </c>
      <c r="O23" s="3">
        <f>IF(O9&lt;&gt;"",-UnosPodataka!$M$9,"")</f>
        <v>-100</v>
      </c>
      <c r="P23" s="3">
        <f>IF(P9&lt;&gt;"",-UnosPodataka!$M$9,"")</f>
        <v>-100</v>
      </c>
      <c r="Q23" s="3">
        <f>IF(Q9&lt;&gt;"",-UnosPodataka!$M$9,"")</f>
        <v>-100</v>
      </c>
      <c r="R23" s="3">
        <f>IF(R9&lt;&gt;"",-UnosPodataka!$M$9,"")</f>
        <v>-100</v>
      </c>
      <c r="S23" s="3">
        <f>IF(S9&lt;&gt;"",-UnosPodataka!$M$9,"")</f>
        <v>-100</v>
      </c>
      <c r="T23" s="3">
        <f>IF(T9&lt;&gt;"",-UnosPodataka!$M$9,"")</f>
        <v>-100</v>
      </c>
      <c r="U23" s="3">
        <f>IF(U9&lt;&gt;"",-UnosPodataka!$M$9,"")</f>
        <v>-100</v>
      </c>
      <c r="V23" s="3">
        <f>IF(V9&lt;&gt;"",-UnosPodataka!$M$9,"")</f>
        <v>-100</v>
      </c>
      <c r="W23" s="3">
        <f>IF(W9&lt;&gt;"",-UnosPodataka!$M$9,"")</f>
        <v>-100</v>
      </c>
      <c r="X23" s="3">
        <f>IF(X9&lt;&gt;"",-UnosPodataka!$M$9,"")</f>
        <v>-100</v>
      </c>
      <c r="Y23" s="3">
        <f>IF(Y9&lt;&gt;"",-UnosPodataka!$M$9,"")</f>
        <v>-100</v>
      </c>
    </row>
    <row r="24" spans="1:25" x14ac:dyDescent="0.25">
      <c r="A24" s="63" t="s">
        <v>145</v>
      </c>
      <c r="B24" s="63"/>
      <c r="C24" s="63"/>
      <c r="D24" s="63"/>
      <c r="F24" s="3">
        <f>IF(F9&lt;&gt;"",-Investment*UnosPodataka!$M$11,"")</f>
        <v>-225</v>
      </c>
      <c r="G24" s="3">
        <f>IF(G9&lt;&gt;"",-Investment*UnosPodataka!$M$11,"")</f>
        <v>-225</v>
      </c>
      <c r="H24" s="3">
        <f>IF(H9&lt;&gt;"",-Investment*UnosPodataka!$M$11,"")</f>
        <v>-225</v>
      </c>
      <c r="I24" s="3">
        <f>IF(I9&lt;&gt;"",-Investment*UnosPodataka!$M$11,"")</f>
        <v>-225</v>
      </c>
      <c r="J24" s="3">
        <f>IF(J9&lt;&gt;"",-Investment*UnosPodataka!$M$11,"")</f>
        <v>-225</v>
      </c>
      <c r="K24" s="3">
        <f>IF(K9&lt;&gt;"",-Investment*UnosPodataka!$M$11,"")</f>
        <v>-225</v>
      </c>
      <c r="L24" s="3">
        <f>IF(L9&lt;&gt;"",-Investment*UnosPodataka!$M$11,"")</f>
        <v>-225</v>
      </c>
      <c r="M24" s="3">
        <f>IF(M9&lt;&gt;"",-Investment*UnosPodataka!$M$11,"")</f>
        <v>-225</v>
      </c>
      <c r="N24" s="3">
        <f>IF(N9&lt;&gt;"",-Investment*UnosPodataka!$M$11,"")</f>
        <v>-225</v>
      </c>
      <c r="O24" s="3">
        <f>IF(O9&lt;&gt;"",-Investment*UnosPodataka!$M$11,"")</f>
        <v>-225</v>
      </c>
      <c r="P24" s="3">
        <f>IF(P9&lt;&gt;"",-Investment*UnosPodataka!$M$11,"")</f>
        <v>-225</v>
      </c>
      <c r="Q24" s="3">
        <f>IF(Q9&lt;&gt;"",-Investment*UnosPodataka!$M$11,"")</f>
        <v>-225</v>
      </c>
      <c r="R24" s="3">
        <f>IF(R9&lt;&gt;"",-Investment*UnosPodataka!$M$11,"")</f>
        <v>-225</v>
      </c>
      <c r="S24" s="3">
        <f>IF(S9&lt;&gt;"",-Investment*UnosPodataka!$M$11,"")</f>
        <v>-225</v>
      </c>
      <c r="T24" s="3">
        <f>IF(T9&lt;&gt;"",-Investment*UnosPodataka!$M$11,"")</f>
        <v>-225</v>
      </c>
      <c r="U24" s="3">
        <f>IF(U9&lt;&gt;"",-Investment*UnosPodataka!$M$11,"")</f>
        <v>-225</v>
      </c>
      <c r="V24" s="3">
        <f>IF(V9&lt;&gt;"",-Investment*UnosPodataka!$M$11,"")</f>
        <v>-225</v>
      </c>
      <c r="W24" s="3">
        <f>IF(W9&lt;&gt;"",-Investment*UnosPodataka!$M$11,"")</f>
        <v>-225</v>
      </c>
      <c r="X24" s="3">
        <f>IF(X9&lt;&gt;"",-Investment*UnosPodataka!$M$11,"")</f>
        <v>-225</v>
      </c>
      <c r="Y24" s="3">
        <f>IF(Y9&lt;&gt;"",-Investment*UnosPodataka!$M$11,"")</f>
        <v>-225</v>
      </c>
    </row>
    <row r="25" spans="1:25" x14ac:dyDescent="0.25">
      <c r="A25" s="63" t="s">
        <v>109</v>
      </c>
      <c r="B25" s="63"/>
      <c r="C25" s="63"/>
      <c r="D25" s="63"/>
      <c r="F25" s="3">
        <f>-F14*EnergyCosts!$J$11/Kurs_EUR</f>
        <v>-463.86672123320375</v>
      </c>
      <c r="G25" s="3">
        <f>-G14*EnergyCosts!$J$11/Kurs_EUR</f>
        <v>-459.22805402087175</v>
      </c>
      <c r="H25" s="3">
        <f>-H14*EnergyCosts!$J$11/Kurs_EUR</f>
        <v>-454.63577348066298</v>
      </c>
      <c r="I25" s="3">
        <f>-I14*EnergyCosts!$J$11/Kurs_EUR</f>
        <v>-450.08941574585634</v>
      </c>
      <c r="J25" s="3">
        <f>-J14*EnergyCosts!$J$11/Kurs_EUR</f>
        <v>-445.58852158839773</v>
      </c>
      <c r="K25" s="3">
        <f>-K14*EnergyCosts!$J$11/Kurs_EUR</f>
        <v>-441.13263637251379</v>
      </c>
      <c r="L25" s="3">
        <f>-L14*EnergyCosts!$J$11/Kurs_EUR</f>
        <v>-436.72131000878863</v>
      </c>
      <c r="M25" s="3">
        <f>-M14*EnergyCosts!$J$11/Kurs_EUR</f>
        <v>-432.35409690870074</v>
      </c>
      <c r="N25" s="3">
        <f>-N14*EnergyCosts!$J$11/Kurs_EUR</f>
        <v>-428.03055593961363</v>
      </c>
      <c r="O25" s="3">
        <f>-O14*EnergyCosts!$J$11/Kurs_EUR</f>
        <v>-423.75025038021761</v>
      </c>
      <c r="P25" s="3">
        <f>-P14*EnergyCosts!$J$11/Kurs_EUR</f>
        <v>-419.5127478764154</v>
      </c>
      <c r="Q25" s="3">
        <f>-Q14*EnergyCosts!$J$11/Kurs_EUR</f>
        <v>-415.31762039765124</v>
      </c>
      <c r="R25" s="3">
        <f>-R14*EnergyCosts!$J$11/Kurs_EUR</f>
        <v>-411.16444419367474</v>
      </c>
      <c r="S25" s="3">
        <f>-S14*EnergyCosts!$J$11/Kurs_EUR</f>
        <v>-407.05279975173795</v>
      </c>
      <c r="T25" s="3">
        <f>-T14*EnergyCosts!$J$11/Kurs_EUR</f>
        <v>-402.98227175422056</v>
      </c>
      <c r="U25" s="3">
        <f>-U14*EnergyCosts!$J$11/Kurs_EUR</f>
        <v>-398.95244903667833</v>
      </c>
      <c r="V25" s="3">
        <f>-V14*EnergyCosts!$J$11/Kurs_EUR</f>
        <v>-394.96292454631157</v>
      </c>
      <c r="W25" s="3">
        <f>-W14*EnergyCosts!$J$11/Kurs_EUR</f>
        <v>-391.01329530084843</v>
      </c>
      <c r="X25" s="3">
        <f>-X14*EnergyCosts!$J$11/Kurs_EUR</f>
        <v>-387.10316234783994</v>
      </c>
      <c r="Y25" s="3">
        <f>-Y14*EnergyCosts!$J$11/Kurs_EUR</f>
        <v>-383.23213072436158</v>
      </c>
    </row>
    <row r="26" spans="1:25" x14ac:dyDescent="0.25">
      <c r="A26" s="63" t="s">
        <v>110</v>
      </c>
      <c r="B26" s="63"/>
      <c r="C26" s="63"/>
      <c r="D26" s="63"/>
      <c r="F26" s="3">
        <f>-EnergyCosts!$J$12*EnergyCosts!$J$14/Kurs_EUR</f>
        <v>-29.607461973944478</v>
      </c>
      <c r="G26" s="3">
        <f>-EnergyCosts!$J$12*EnergyCosts!$J$14/Kurs_EUR</f>
        <v>-29.607461973944478</v>
      </c>
      <c r="H26" s="3">
        <f>-EnergyCosts!$J$12*EnergyCosts!$J$14/Kurs_EUR</f>
        <v>-29.607461973944478</v>
      </c>
      <c r="I26" s="3">
        <f>-EnergyCosts!$J$12*EnergyCosts!$J$14/Kurs_EUR</f>
        <v>-29.607461973944478</v>
      </c>
      <c r="J26" s="3">
        <f>-EnergyCosts!$J$12*EnergyCosts!$J$14/Kurs_EUR</f>
        <v>-29.607461973944478</v>
      </c>
      <c r="K26" s="3">
        <f>-EnergyCosts!$J$12*EnergyCosts!$J$14/Kurs_EUR</f>
        <v>-29.607461973944478</v>
      </c>
      <c r="L26" s="3">
        <f>-EnergyCosts!$J$12*EnergyCosts!$J$14/Kurs_EUR</f>
        <v>-29.607461973944478</v>
      </c>
      <c r="M26" s="3">
        <f>-EnergyCosts!$J$12*EnergyCosts!$J$14/Kurs_EUR</f>
        <v>-29.607461973944478</v>
      </c>
      <c r="N26" s="3">
        <f>-EnergyCosts!$J$12*EnergyCosts!$J$14/Kurs_EUR</f>
        <v>-29.607461973944478</v>
      </c>
      <c r="O26" s="3">
        <f>-EnergyCosts!$J$12*EnergyCosts!$J$14/Kurs_EUR</f>
        <v>-29.607461973944478</v>
      </c>
      <c r="P26" s="3">
        <f>-EnergyCosts!$J$12*EnergyCosts!$J$14/Kurs_EUR</f>
        <v>-29.607461973944478</v>
      </c>
      <c r="Q26" s="3">
        <f>-EnergyCosts!$J$12*EnergyCosts!$J$14/Kurs_EUR</f>
        <v>-29.607461973944478</v>
      </c>
      <c r="R26" s="3">
        <f>-EnergyCosts!$J$12*EnergyCosts!$J$14/Kurs_EUR</f>
        <v>-29.607461973944478</v>
      </c>
      <c r="S26" s="3">
        <f>-EnergyCosts!$J$12*EnergyCosts!$J$14/Kurs_EUR</f>
        <v>-29.607461973944478</v>
      </c>
      <c r="T26" s="3">
        <f>-EnergyCosts!$J$12*EnergyCosts!$J$14/Kurs_EUR</f>
        <v>-29.607461973944478</v>
      </c>
      <c r="U26" s="3">
        <f>-EnergyCosts!$J$12*EnergyCosts!$J$14/Kurs_EUR</f>
        <v>-29.607461973944478</v>
      </c>
      <c r="V26" s="3">
        <f>-EnergyCosts!$J$12*EnergyCosts!$J$14/Kurs_EUR</f>
        <v>-29.607461973944478</v>
      </c>
      <c r="W26" s="3">
        <f>-EnergyCosts!$J$12*EnergyCosts!$J$14/Kurs_EUR</f>
        <v>-29.607461973944478</v>
      </c>
      <c r="X26" s="3">
        <f>-EnergyCosts!$J$12*EnergyCosts!$J$14/Kurs_EUR</f>
        <v>-29.607461973944478</v>
      </c>
      <c r="Y26" s="3">
        <f>-EnergyCosts!$J$12*EnergyCosts!$J$14/Kurs_EUR</f>
        <v>-29.607461973944478</v>
      </c>
    </row>
    <row r="27" spans="1:25" x14ac:dyDescent="0.25">
      <c r="A27" s="63" t="s">
        <v>111</v>
      </c>
      <c r="B27" s="63"/>
      <c r="C27" s="63"/>
      <c r="D27" s="63"/>
      <c r="F27" s="3">
        <f>(-F17+F25+F26)*EnergyCosts!$J$15</f>
        <v>-206.95122263147124</v>
      </c>
      <c r="G27" s="3">
        <f>(-G17+G25+G26)*EnergyCosts!$J$15</f>
        <v>-204.90391600163699</v>
      </c>
      <c r="H27" s="3">
        <f>(-H17+H25+H26)*EnergyCosts!$J$15</f>
        <v>-202.8770824381011</v>
      </c>
      <c r="I27" s="3">
        <f>(-I17+I25+I26)*EnergyCosts!$J$15</f>
        <v>-200.87051721020052</v>
      </c>
      <c r="J27" s="3">
        <f>(-J17+J25+J26)*EnergyCosts!$J$15</f>
        <v>-198.88401763457895</v>
      </c>
      <c r="K27" s="3">
        <f>(-K17+K25+K26)*EnergyCosts!$J$15</f>
        <v>-196.91738305471361</v>
      </c>
      <c r="L27" s="3">
        <f>(-L17+L25+L26)*EnergyCosts!$J$15</f>
        <v>-194.97041482064694</v>
      </c>
      <c r="M27" s="3">
        <f>(-M17+M25+M26)*EnergyCosts!$J$15</f>
        <v>-193.04291626892095</v>
      </c>
      <c r="N27" s="3">
        <f>(-N17+N25+N26)*EnergyCosts!$J$15</f>
        <v>-191.13469270271216</v>
      </c>
      <c r="O27" s="3">
        <f>(-O17+O25+O26)*EnergyCosts!$J$15</f>
        <v>-189.24555137216549</v>
      </c>
      <c r="P27" s="3">
        <f>(-P17+P25+P26)*EnergyCosts!$J$15</f>
        <v>-187.37530145492431</v>
      </c>
      <c r="Q27" s="3">
        <f>(-Q17+Q25+Q26)*EnergyCosts!$J$15</f>
        <v>-185.52375403685551</v>
      </c>
      <c r="R27" s="3">
        <f>(-R17+R25+R26)*EnergyCosts!$J$15</f>
        <v>-183.69072209296743</v>
      </c>
      <c r="S27" s="3">
        <f>(-S17+S25+S26)*EnergyCosts!$J$15</f>
        <v>-181.87602046851819</v>
      </c>
      <c r="T27" s="3">
        <f>(-T17+T25+T26)*EnergyCosts!$J$15</f>
        <v>-180.07946586031346</v>
      </c>
      <c r="U27" s="3">
        <f>(-U17+U25+U26)*EnergyCosts!$J$15</f>
        <v>-178.30087679819079</v>
      </c>
      <c r="V27" s="3">
        <f>(-V17+V25+V26)*EnergyCosts!$J$15</f>
        <v>-176.54007362668935</v>
      </c>
      <c r="W27" s="3">
        <f>(-W17+W25+W26)*EnergyCosts!$J$15</f>
        <v>-174.7968784869029</v>
      </c>
      <c r="X27" s="3">
        <f>(-X17+X25+X26)*EnergyCosts!$J$15</f>
        <v>-173.07111529851431</v>
      </c>
      <c r="Y27" s="3">
        <f>(-Y17+Y25+Y26)*EnergyCosts!$J$15</f>
        <v>-171.36260974200962</v>
      </c>
    </row>
    <row r="28" spans="1:25" x14ac:dyDescent="0.25">
      <c r="A28" s="63" t="s">
        <v>146</v>
      </c>
      <c r="B28" s="63"/>
      <c r="C28" s="63"/>
      <c r="D28" s="63"/>
      <c r="F28" s="3">
        <f>IF(F9&lt;&gt;"",-Investment*UnosPodataka!$M$12,"")</f>
        <v>-2250</v>
      </c>
      <c r="G28" s="3">
        <f>IF(G9&lt;&gt;"",-Investment*UnosPodataka!$M$12,"")</f>
        <v>-2250</v>
      </c>
      <c r="H28" s="3">
        <f>IF(H9&lt;&gt;"",-Investment*UnosPodataka!$M$12,"")</f>
        <v>-2250</v>
      </c>
      <c r="I28" s="3">
        <f>IF(I9&lt;&gt;"",-Investment*UnosPodataka!$M$12,"")</f>
        <v>-2250</v>
      </c>
      <c r="J28" s="3">
        <f>IF(J9&lt;&gt;"",-Investment*UnosPodataka!$M$12,"")</f>
        <v>-2250</v>
      </c>
      <c r="K28" s="3">
        <f>IF(K9&lt;&gt;"",-Investment*UnosPodataka!$M$12,"")</f>
        <v>-2250</v>
      </c>
      <c r="L28" s="3">
        <f>IF(L9&lt;&gt;"",-Investment*UnosPodataka!$M$12,"")</f>
        <v>-2250</v>
      </c>
      <c r="M28" s="3">
        <f>IF(M9&lt;&gt;"",-Investment*UnosPodataka!$M$12,"")</f>
        <v>-2250</v>
      </c>
      <c r="N28" s="3">
        <f>IF(N9&lt;&gt;"",-Investment*UnosPodataka!$M$12,"")</f>
        <v>-2250</v>
      </c>
      <c r="O28" s="3">
        <f>IF(O9&lt;&gt;"",-Investment*UnosPodataka!$M$12,"")</f>
        <v>-2250</v>
      </c>
      <c r="P28" s="3">
        <f>IF(P9&lt;&gt;"",-Investment*UnosPodataka!$M$12,"")</f>
        <v>-2250</v>
      </c>
      <c r="Q28" s="3">
        <f>IF(Q9&lt;&gt;"",-Investment*UnosPodataka!$M$12,"")</f>
        <v>-2250</v>
      </c>
      <c r="R28" s="3">
        <f>IF(R9&lt;&gt;"",-Investment*UnosPodataka!$M$12,"")</f>
        <v>-2250</v>
      </c>
      <c r="S28" s="3">
        <f>IF(S9&lt;&gt;"",-Investment*UnosPodataka!$M$12,"")</f>
        <v>-2250</v>
      </c>
      <c r="T28" s="3">
        <f>IF(T9&lt;&gt;"",-Investment*UnosPodataka!$M$12,"")</f>
        <v>-2250</v>
      </c>
      <c r="U28" s="3">
        <f>IF(U9&lt;&gt;"",-Investment*UnosPodataka!$M$12,"")</f>
        <v>-2250</v>
      </c>
      <c r="V28" s="3">
        <f>IF(V9&lt;&gt;"",-Investment*UnosPodataka!$M$12,"")</f>
        <v>-2250</v>
      </c>
      <c r="W28" s="3">
        <f>IF(W9&lt;&gt;"",-Investment*UnosPodataka!$M$12,"")</f>
        <v>-2250</v>
      </c>
      <c r="X28" s="3">
        <f>IF(X9&lt;&gt;"",-Investment*UnosPodataka!$M$12,"")</f>
        <v>-2250</v>
      </c>
      <c r="Y28" s="3">
        <f>IF(Y9&lt;&gt;"",-Investment*UnosPodataka!$M$12,"")</f>
        <v>-2250</v>
      </c>
    </row>
    <row r="29" spans="1:25" x14ac:dyDescent="0.25">
      <c r="A29" s="63" t="s">
        <v>174</v>
      </c>
      <c r="B29" s="63"/>
      <c r="C29" s="63"/>
      <c r="D29" s="63"/>
      <c r="F29" s="3">
        <f>IF(F9&lt;&gt;"",-(1-UnosPodataka!$M$10)*FinaIndicators!F17,"")</f>
        <v>0</v>
      </c>
      <c r="G29" s="3">
        <f>IF(G9&lt;&gt;"",-(1-UnosPodataka!$M$10)*FinaIndicators!G17,"")</f>
        <v>0</v>
      </c>
      <c r="H29" s="3">
        <f>IF(H9&lt;&gt;"",-(1-UnosPodataka!$M$10)*FinaIndicators!H17,"")</f>
        <v>0</v>
      </c>
      <c r="I29" s="3">
        <f>IF(I9&lt;&gt;"",-(1-UnosPodataka!$M$10)*FinaIndicators!I17,"")</f>
        <v>0</v>
      </c>
      <c r="J29" s="3">
        <f>IF(J9&lt;&gt;"",-(1-UnosPodataka!$M$10)*FinaIndicators!J17,"")</f>
        <v>0</v>
      </c>
      <c r="K29" s="3">
        <f>IF(K9&lt;&gt;"",-(1-UnosPodataka!$M$10)*FinaIndicators!K17,"")</f>
        <v>0</v>
      </c>
      <c r="L29" s="3">
        <f>IF(L9&lt;&gt;"",-(1-UnosPodataka!$M$10)*FinaIndicators!L17,"")</f>
        <v>0</v>
      </c>
      <c r="M29" s="3">
        <f>IF(M9&lt;&gt;"",-(1-UnosPodataka!$M$10)*FinaIndicators!M17,"")</f>
        <v>0</v>
      </c>
      <c r="N29" s="3">
        <f>IF(N9&lt;&gt;"",-(1-UnosPodataka!$M$10)*FinaIndicators!N17,"")</f>
        <v>0</v>
      </c>
      <c r="O29" s="3">
        <f>IF(O9&lt;&gt;"",-(1-UnosPodataka!$M$10)*FinaIndicators!O17,"")</f>
        <v>0</v>
      </c>
      <c r="P29" s="3">
        <f>IF(P9&lt;&gt;"",-(1-UnosPodataka!$M$10)*FinaIndicators!P17,"")</f>
        <v>0</v>
      </c>
      <c r="Q29" s="3">
        <f>IF(Q9&lt;&gt;"",-(1-UnosPodataka!$M$10)*FinaIndicators!Q17,"")</f>
        <v>0</v>
      </c>
      <c r="R29" s="3">
        <f>IF(R9&lt;&gt;"",-(1-UnosPodataka!$M$10)*FinaIndicators!R17,"")</f>
        <v>0</v>
      </c>
      <c r="S29" s="3">
        <f>IF(S9&lt;&gt;"",-(1-UnosPodataka!$M$10)*FinaIndicators!S17,"")</f>
        <v>0</v>
      </c>
      <c r="T29" s="3">
        <f>IF(T9&lt;&gt;"",-(1-UnosPodataka!$M$10)*FinaIndicators!T17,"")</f>
        <v>0</v>
      </c>
      <c r="U29" s="3">
        <f>IF(U9&lt;&gt;"",-(1-UnosPodataka!$M$10)*FinaIndicators!U17,"")</f>
        <v>0</v>
      </c>
      <c r="V29" s="3">
        <f>IF(V9&lt;&gt;"",-(1-UnosPodataka!$M$10)*FinaIndicators!V17,"")</f>
        <v>0</v>
      </c>
      <c r="W29" s="3">
        <f>IF(W9&lt;&gt;"",-(1-UnosPodataka!$M$10)*FinaIndicators!W17,"")</f>
        <v>0</v>
      </c>
      <c r="X29" s="3">
        <f>IF(X9&lt;&gt;"",-(1-UnosPodataka!$M$10)*FinaIndicators!X17,"")</f>
        <v>0</v>
      </c>
      <c r="Y29" s="3">
        <f>IF(Y9&lt;&gt;"",-(1-UnosPodataka!$M$10)*FinaIndicators!Y17,"")</f>
        <v>0</v>
      </c>
    </row>
    <row r="30" spans="1:25" x14ac:dyDescent="0.25">
      <c r="A30" s="69" t="s">
        <v>147</v>
      </c>
      <c r="B30" s="69"/>
      <c r="C30" s="69"/>
      <c r="D30" s="69"/>
      <c r="E30" s="28"/>
      <c r="F30" s="29">
        <f>IF(F9&lt;&gt;"",SUM(F21:F29),"")</f>
        <v>-5487.7274578366705</v>
      </c>
      <c r="G30" s="29">
        <f t="shared" ref="G30:Y30" si="3">IF(G9&lt;&gt;"",SUM(G21:G29),"")</f>
        <v>-5481.0414839945042</v>
      </c>
      <c r="H30" s="29">
        <f t="shared" si="3"/>
        <v>-5474.422369890759</v>
      </c>
      <c r="I30" s="29">
        <f t="shared" si="3"/>
        <v>-5467.8694469280526</v>
      </c>
      <c r="J30" s="29">
        <f t="shared" si="3"/>
        <v>-5461.3820531949714</v>
      </c>
      <c r="K30" s="29">
        <f t="shared" si="3"/>
        <v>-5454.9595333992229</v>
      </c>
      <c r="L30" s="29">
        <f t="shared" si="3"/>
        <v>-5448.6012388014315</v>
      </c>
      <c r="M30" s="29">
        <f t="shared" si="3"/>
        <v>-5442.3065271496171</v>
      </c>
      <c r="N30" s="29">
        <f t="shared" si="3"/>
        <v>-5436.0747626143211</v>
      </c>
      <c r="O30" s="29">
        <f t="shared" si="3"/>
        <v>-5429.9053157243779</v>
      </c>
      <c r="P30" s="29">
        <f t="shared" si="3"/>
        <v>-3211.4955113052843</v>
      </c>
      <c r="Q30" s="29">
        <f t="shared" si="3"/>
        <v>-3205.4488364084514</v>
      </c>
      <c r="R30" s="29">
        <f t="shared" si="3"/>
        <v>-3199.4626282605868</v>
      </c>
      <c r="S30" s="29">
        <f t="shared" si="3"/>
        <v>-3193.5362821942008</v>
      </c>
      <c r="T30" s="29">
        <f t="shared" si="3"/>
        <v>-3187.6691995884785</v>
      </c>
      <c r="U30" s="29">
        <f t="shared" si="3"/>
        <v>-3181.8607878088137</v>
      </c>
      <c r="V30" s="29">
        <f t="shared" si="3"/>
        <v>-3176.1104601469456</v>
      </c>
      <c r="W30" s="29">
        <f t="shared" si="3"/>
        <v>-3170.4176357616957</v>
      </c>
      <c r="X30" s="29">
        <f t="shared" si="3"/>
        <v>-3164.781739620299</v>
      </c>
      <c r="Y30" s="29">
        <f t="shared" si="3"/>
        <v>-3159.2022024403159</v>
      </c>
    </row>
    <row r="32" spans="1:25" x14ac:dyDescent="0.25">
      <c r="A32" t="s">
        <v>148</v>
      </c>
      <c r="E32" s="3">
        <f>-SUM(E11:E13)</f>
        <v>-22500</v>
      </c>
      <c r="F32" s="3">
        <f>+F30-F28-F35</f>
        <v>-3237.7274578366705</v>
      </c>
      <c r="G32" s="3">
        <f t="shared" ref="G32:Y32" si="4">+G30-G28-G35</f>
        <v>-3231.0414839945042</v>
      </c>
      <c r="H32" s="3">
        <f t="shared" si="4"/>
        <v>-3224.422369890759</v>
      </c>
      <c r="I32" s="3">
        <f t="shared" si="4"/>
        <v>-3217.8694469280526</v>
      </c>
      <c r="J32" s="3">
        <f t="shared" si="4"/>
        <v>-3211.3820531949714</v>
      </c>
      <c r="K32" s="3">
        <f t="shared" si="4"/>
        <v>-3204.9595333992229</v>
      </c>
      <c r="L32" s="3">
        <f t="shared" si="4"/>
        <v>-3198.6012388014315</v>
      </c>
      <c r="M32" s="3">
        <f t="shared" si="4"/>
        <v>-3192.3065271496171</v>
      </c>
      <c r="N32" s="3">
        <f t="shared" si="4"/>
        <v>-3186.0747626143211</v>
      </c>
      <c r="O32" s="3">
        <f t="shared" si="4"/>
        <v>-3179.9053157243779</v>
      </c>
      <c r="P32" s="3">
        <f t="shared" si="4"/>
        <v>-961.49551130528425</v>
      </c>
      <c r="Q32" s="3">
        <f t="shared" si="4"/>
        <v>-955.44883640845137</v>
      </c>
      <c r="R32" s="3">
        <f t="shared" si="4"/>
        <v>-949.46262826058683</v>
      </c>
      <c r="S32" s="3">
        <f t="shared" si="4"/>
        <v>-943.53628219420079</v>
      </c>
      <c r="T32" s="3">
        <f t="shared" si="4"/>
        <v>-937.66919958847848</v>
      </c>
      <c r="U32" s="3">
        <f t="shared" si="4"/>
        <v>-931.86078780881371</v>
      </c>
      <c r="V32" s="3">
        <f t="shared" si="4"/>
        <v>-926.11046014694557</v>
      </c>
      <c r="W32" s="3">
        <f t="shared" si="4"/>
        <v>-920.41763576169569</v>
      </c>
      <c r="X32" s="3">
        <f t="shared" si="4"/>
        <v>-914.78173962029905</v>
      </c>
      <c r="Y32" s="3">
        <f t="shared" si="4"/>
        <v>-909.20220244031589</v>
      </c>
    </row>
    <row r="33" spans="1:26" x14ac:dyDescent="0.25">
      <c r="A33" s="55" t="s">
        <v>149</v>
      </c>
      <c r="B33" s="55"/>
      <c r="C33" s="55"/>
      <c r="D33" s="55"/>
      <c r="F33" s="3">
        <f>IF(F9&lt;&gt;"",F18+F30-F22,"")</f>
        <v>-2509.5499539594844</v>
      </c>
      <c r="G33" s="3">
        <f t="shared" ref="G33:Y33" si="5">IF(G9&lt;&gt;"",G18+G30-G22,"")</f>
        <v>-2440.0464883963432</v>
      </c>
      <c r="H33" s="3">
        <f t="shared" si="5"/>
        <v>-2360.1261454776632</v>
      </c>
      <c r="I33" s="3">
        <f t="shared" si="5"/>
        <v>-2268.5596645356618</v>
      </c>
      <c r="J33" s="3">
        <f t="shared" si="5"/>
        <v>-2163.9700659762671</v>
      </c>
      <c r="K33" s="3">
        <f t="shared" si="5"/>
        <v>-2044.8149270844401</v>
      </c>
      <c r="L33" s="3">
        <f t="shared" si="5"/>
        <v>-1909.366530905339</v>
      </c>
      <c r="M33" s="3">
        <f t="shared" si="5"/>
        <v>-1755.6896329706926</v>
      </c>
      <c r="N33" s="3">
        <f t="shared" si="5"/>
        <v>-1581.6165600119784</v>
      </c>
      <c r="O33" s="3">
        <f t="shared" si="5"/>
        <v>-1384.7193204990263</v>
      </c>
      <c r="P33" s="3">
        <f t="shared" si="5"/>
        <v>-1162.2783684233195</v>
      </c>
      <c r="Q33" s="3">
        <f t="shared" si="5"/>
        <v>-1176.7238649553069</v>
      </c>
      <c r="R33" s="3">
        <f t="shared" si="5"/>
        <v>-1191.0249065219732</v>
      </c>
      <c r="S33" s="3">
        <f t="shared" si="5"/>
        <v>-1205.182937672974</v>
      </c>
      <c r="T33" s="3">
        <f t="shared" si="5"/>
        <v>-1219.1993885124637</v>
      </c>
      <c r="U33" s="3">
        <f t="shared" si="5"/>
        <v>-1233.0756748435592</v>
      </c>
      <c r="V33" s="3">
        <f t="shared" si="5"/>
        <v>-1246.8131983113435</v>
      </c>
      <c r="W33" s="3">
        <f t="shared" si="5"/>
        <v>-1260.4133465444497</v>
      </c>
      <c r="X33" s="3">
        <f t="shared" si="5"/>
        <v>-1273.8774932952256</v>
      </c>
      <c r="Y33" s="3">
        <f t="shared" si="5"/>
        <v>-1287.2069985784933</v>
      </c>
    </row>
    <row r="34" spans="1:26" x14ac:dyDescent="0.25"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26" x14ac:dyDescent="0.25">
      <c r="A35" s="63" t="s">
        <v>150</v>
      </c>
      <c r="B35" s="63"/>
      <c r="C35" s="63"/>
      <c r="D35" s="63"/>
      <c r="E35" s="23"/>
      <c r="F35" s="3">
        <f>IF(E9&lt;&gt;"",IF(F33&gt;0,F33*VAT,0),"")</f>
        <v>0</v>
      </c>
      <c r="G35" s="3">
        <f>IF(F9&lt;&gt;"",IF(G33&gt;0,G33*VAT,0),"")</f>
        <v>0</v>
      </c>
      <c r="H35" s="3">
        <f t="shared" ref="H35:Y35" si="6">IF(G9&lt;&gt;"",IF(H33&gt;0,H33*VAT,0),"")</f>
        <v>0</v>
      </c>
      <c r="I35" s="3">
        <f t="shared" si="6"/>
        <v>0</v>
      </c>
      <c r="J35" s="3">
        <f t="shared" si="6"/>
        <v>0</v>
      </c>
      <c r="K35" s="3">
        <f t="shared" si="6"/>
        <v>0</v>
      </c>
      <c r="L35" s="3">
        <f t="shared" si="6"/>
        <v>0</v>
      </c>
      <c r="M35" s="3">
        <f t="shared" si="6"/>
        <v>0</v>
      </c>
      <c r="N35" s="3">
        <f t="shared" si="6"/>
        <v>0</v>
      </c>
      <c r="O35" s="3">
        <f t="shared" si="6"/>
        <v>0</v>
      </c>
      <c r="P35" s="3">
        <f t="shared" si="6"/>
        <v>0</v>
      </c>
      <c r="Q35" s="3">
        <f t="shared" si="6"/>
        <v>0</v>
      </c>
      <c r="R35" s="3">
        <f t="shared" si="6"/>
        <v>0</v>
      </c>
      <c r="S35" s="3">
        <f t="shared" si="6"/>
        <v>0</v>
      </c>
      <c r="T35" s="3">
        <f t="shared" si="6"/>
        <v>0</v>
      </c>
      <c r="U35" s="3">
        <f t="shared" si="6"/>
        <v>0</v>
      </c>
      <c r="V35" s="3">
        <f t="shared" si="6"/>
        <v>0</v>
      </c>
      <c r="W35" s="3">
        <f t="shared" si="6"/>
        <v>0</v>
      </c>
      <c r="X35" s="3">
        <f t="shared" si="6"/>
        <v>0</v>
      </c>
      <c r="Y35" s="3">
        <f t="shared" si="6"/>
        <v>0</v>
      </c>
      <c r="Z35" s="3"/>
    </row>
    <row r="36" spans="1:26" x14ac:dyDescent="0.25">
      <c r="A36" s="55" t="s">
        <v>151</v>
      </c>
      <c r="B36" s="55"/>
      <c r="C36" s="55"/>
      <c r="D36" s="55"/>
      <c r="E36" s="3">
        <f>IF(E12=E11,-E11,-E12)</f>
        <v>-5000</v>
      </c>
      <c r="F36" s="3">
        <f>IF(F9&lt;&gt;"",F33-F35,"")</f>
        <v>-2509.5499539594844</v>
      </c>
      <c r="G36" s="3">
        <f t="shared" ref="G36:Y36" si="7">IF(G9&lt;&gt;"",G33-G35,"")</f>
        <v>-2440.0464883963432</v>
      </c>
      <c r="H36" s="3">
        <f t="shared" si="7"/>
        <v>-2360.1261454776632</v>
      </c>
      <c r="I36" s="3">
        <f t="shared" si="7"/>
        <v>-2268.5596645356618</v>
      </c>
      <c r="J36" s="3">
        <f t="shared" si="7"/>
        <v>-2163.9700659762671</v>
      </c>
      <c r="K36" s="3">
        <f t="shared" si="7"/>
        <v>-2044.8149270844401</v>
      </c>
      <c r="L36" s="3">
        <f t="shared" si="7"/>
        <v>-1909.366530905339</v>
      </c>
      <c r="M36" s="3">
        <f t="shared" si="7"/>
        <v>-1755.6896329706926</v>
      </c>
      <c r="N36" s="3">
        <f t="shared" si="7"/>
        <v>-1581.6165600119784</v>
      </c>
      <c r="O36" s="3">
        <f t="shared" si="7"/>
        <v>-1384.7193204990263</v>
      </c>
      <c r="P36" s="3">
        <f t="shared" si="7"/>
        <v>-1162.2783684233195</v>
      </c>
      <c r="Q36" s="3">
        <f t="shared" si="7"/>
        <v>-1176.7238649553069</v>
      </c>
      <c r="R36" s="3">
        <f t="shared" si="7"/>
        <v>-1191.0249065219732</v>
      </c>
      <c r="S36" s="3">
        <f t="shared" si="7"/>
        <v>-1205.182937672974</v>
      </c>
      <c r="T36" s="3">
        <f t="shared" si="7"/>
        <v>-1219.1993885124637</v>
      </c>
      <c r="U36" s="3">
        <f t="shared" si="7"/>
        <v>-1233.0756748435592</v>
      </c>
      <c r="V36" s="3">
        <f t="shared" si="7"/>
        <v>-1246.8131983113435</v>
      </c>
      <c r="W36" s="3">
        <f t="shared" si="7"/>
        <v>-1260.4133465444497</v>
      </c>
      <c r="X36" s="3">
        <f t="shared" si="7"/>
        <v>-1273.8774932952256</v>
      </c>
      <c r="Y36" s="3">
        <f t="shared" si="7"/>
        <v>-1287.2069985784933</v>
      </c>
    </row>
    <row r="38" spans="1:26" x14ac:dyDescent="0.25">
      <c r="A38" s="31" t="s">
        <v>161</v>
      </c>
      <c r="E38" s="3">
        <f>-SUM(E11:E13)</f>
        <v>-22500</v>
      </c>
      <c r="F38" s="3">
        <f>+F18+F32-F35</f>
        <v>-971.85200595753531</v>
      </c>
      <c r="G38" s="3">
        <f t="shared" ref="G38:Y38" si="8">+G18+G32-G35</f>
        <v>-987.82478663416032</v>
      </c>
      <c r="H38" s="3">
        <f t="shared" si="8"/>
        <v>-1003.6378395040183</v>
      </c>
      <c r="I38" s="3">
        <f t="shared" si="8"/>
        <v>-1019.2927618451799</v>
      </c>
      <c r="J38" s="3">
        <f t="shared" si="8"/>
        <v>-1034.7911349629271</v>
      </c>
      <c r="K38" s="3">
        <f t="shared" si="8"/>
        <v>-1050.1345243494993</v>
      </c>
      <c r="L38" s="3">
        <f t="shared" si="8"/>
        <v>-1065.3244798422052</v>
      </c>
      <c r="M38" s="3">
        <f t="shared" si="8"/>
        <v>-1080.3625357799829</v>
      </c>
      <c r="N38" s="3">
        <f t="shared" si="8"/>
        <v>-1095.2502111583835</v>
      </c>
      <c r="O38" s="3">
        <f t="shared" si="8"/>
        <v>-1109.9890097829998</v>
      </c>
      <c r="P38" s="3">
        <f t="shared" si="8"/>
        <v>1087.7216315766805</v>
      </c>
      <c r="Q38" s="3">
        <f t="shared" si="8"/>
        <v>1073.2761350446931</v>
      </c>
      <c r="R38" s="3">
        <f t="shared" si="8"/>
        <v>1058.9750934780268</v>
      </c>
      <c r="S38" s="3">
        <f t="shared" si="8"/>
        <v>1044.817062327026</v>
      </c>
      <c r="T38" s="3">
        <f t="shared" si="8"/>
        <v>1030.8006114875363</v>
      </c>
      <c r="U38" s="3">
        <f t="shared" si="8"/>
        <v>1016.9243251564408</v>
      </c>
      <c r="V38" s="3">
        <f t="shared" si="8"/>
        <v>1003.1868016886565</v>
      </c>
      <c r="W38" s="3">
        <f t="shared" si="8"/>
        <v>989.58665345555028</v>
      </c>
      <c r="X38" s="3">
        <f t="shared" si="8"/>
        <v>976.12250670477442</v>
      </c>
      <c r="Y38" s="3">
        <f t="shared" si="8"/>
        <v>962.79300142150669</v>
      </c>
    </row>
    <row r="39" spans="1:26" x14ac:dyDescent="0.25">
      <c r="A39" s="31" t="s">
        <v>162</v>
      </c>
      <c r="E39" s="3">
        <f>+E38</f>
        <v>-22500</v>
      </c>
      <c r="F39" s="3">
        <f>+E39+F38</f>
        <v>-23471.852005957535</v>
      </c>
      <c r="G39" s="3">
        <f t="shared" ref="G39:Y39" si="9">+F39+G38</f>
        <v>-24459.676792591694</v>
      </c>
      <c r="H39" s="3">
        <f t="shared" si="9"/>
        <v>-25463.314632095713</v>
      </c>
      <c r="I39" s="3">
        <f t="shared" si="9"/>
        <v>-26482.607393940893</v>
      </c>
      <c r="J39" s="3">
        <f t="shared" si="9"/>
        <v>-27517.398528903821</v>
      </c>
      <c r="K39" s="3">
        <f t="shared" si="9"/>
        <v>-28567.533053253319</v>
      </c>
      <c r="L39" s="3">
        <f t="shared" si="9"/>
        <v>-29632.857533095525</v>
      </c>
      <c r="M39" s="3">
        <f t="shared" si="9"/>
        <v>-30713.220068875507</v>
      </c>
      <c r="N39" s="3">
        <f t="shared" si="9"/>
        <v>-31808.470280033893</v>
      </c>
      <c r="O39" s="3">
        <f t="shared" si="9"/>
        <v>-32918.459289816892</v>
      </c>
      <c r="P39" s="3">
        <f t="shared" si="9"/>
        <v>-31830.73765824021</v>
      </c>
      <c r="Q39" s="3">
        <f t="shared" si="9"/>
        <v>-30757.461523195518</v>
      </c>
      <c r="R39" s="3">
        <f t="shared" si="9"/>
        <v>-29698.48642971749</v>
      </c>
      <c r="S39" s="3">
        <f t="shared" si="9"/>
        <v>-28653.669367390463</v>
      </c>
      <c r="T39" s="3">
        <f t="shared" si="9"/>
        <v>-27622.868755902928</v>
      </c>
      <c r="U39" s="3">
        <f t="shared" si="9"/>
        <v>-26605.944430746487</v>
      </c>
      <c r="V39" s="3">
        <f t="shared" si="9"/>
        <v>-25602.757629057829</v>
      </c>
      <c r="W39" s="3">
        <f t="shared" si="9"/>
        <v>-24613.170975602279</v>
      </c>
      <c r="X39" s="3">
        <f t="shared" si="9"/>
        <v>-23637.048468897505</v>
      </c>
      <c r="Y39" s="3">
        <f t="shared" si="9"/>
        <v>-22674.255467475999</v>
      </c>
    </row>
    <row r="40" spans="1:26" x14ac:dyDescent="0.25">
      <c r="A40" s="19"/>
    </row>
    <row r="41" spans="1:26" x14ac:dyDescent="0.25">
      <c r="A41" s="31" t="s">
        <v>84</v>
      </c>
      <c r="E41" s="7">
        <f>+PomTab1!L25</f>
        <v>7.9622222222222219E-2</v>
      </c>
    </row>
    <row r="42" spans="1:26" x14ac:dyDescent="0.25">
      <c r="A42" s="31" t="s">
        <v>163</v>
      </c>
      <c r="E42" s="3">
        <f>-SUM(E11:E13)</f>
        <v>-22500</v>
      </c>
      <c r="F42" s="3">
        <f>IF(F9&lt;&gt;"",F38*(1+$E$41)^-F9,"")</f>
        <v>-900.17784550334659</v>
      </c>
      <c r="G42" s="3">
        <f t="shared" ref="G42:Y42" si="10">IF(G9&lt;&gt;"",G38*(1+$E$41)^-G9,"")</f>
        <v>-847.49333011027977</v>
      </c>
      <c r="H42" s="3">
        <f t="shared" si="10"/>
        <v>-797.55672482477689</v>
      </c>
      <c r="I42" s="3">
        <f t="shared" si="10"/>
        <v>-750.25980425939247</v>
      </c>
      <c r="J42" s="3">
        <f t="shared" si="10"/>
        <v>-705.49448551452906</v>
      </c>
      <c r="K42" s="3">
        <f t="shared" si="10"/>
        <v>-663.15346841740404</v>
      </c>
      <c r="L42" s="3">
        <f t="shared" si="10"/>
        <v>-623.13077452309369</v>
      </c>
      <c r="M42" s="3">
        <f t="shared" si="10"/>
        <v>-585.32219682836671</v>
      </c>
      <c r="N42" s="3">
        <f t="shared" si="10"/>
        <v>-549.62567089531365</v>
      </c>
      <c r="O42" s="3">
        <f t="shared" si="10"/>
        <v>-515.941576951559</v>
      </c>
      <c r="P42" s="3">
        <f t="shared" si="10"/>
        <v>468.30392549587799</v>
      </c>
      <c r="Q42" s="3">
        <f t="shared" si="10"/>
        <v>428.00583542409117</v>
      </c>
      <c r="R42" s="3">
        <f t="shared" si="10"/>
        <v>391.15793812560167</v>
      </c>
      <c r="S42" s="3">
        <f t="shared" si="10"/>
        <v>357.46608454479542</v>
      </c>
      <c r="T42" s="3">
        <f t="shared" si="10"/>
        <v>326.66111449786149</v>
      </c>
      <c r="U42" s="3">
        <f t="shared" si="10"/>
        <v>298.49674018555254</v>
      </c>
      <c r="V42" s="3">
        <f t="shared" si="10"/>
        <v>272.74760850563746</v>
      </c>
      <c r="W42" s="3">
        <f t="shared" si="10"/>
        <v>249.20752709344734</v>
      </c>
      <c r="X42" s="3">
        <f t="shared" si="10"/>
        <v>227.68784028694881</v>
      </c>
      <c r="Y42" s="3">
        <f t="shared" si="10"/>
        <v>208.01594237428287</v>
      </c>
    </row>
    <row r="43" spans="1:26" x14ac:dyDescent="0.25">
      <c r="A43" s="31" t="s">
        <v>164</v>
      </c>
      <c r="E43" s="3">
        <f>+E42</f>
        <v>-22500</v>
      </c>
      <c r="F43" s="3">
        <f>+E43+F42</f>
        <v>-23400.177845503345</v>
      </c>
      <c r="G43" s="3">
        <f t="shared" ref="G43:Y43" si="11">+F43+G42</f>
        <v>-24247.671175613625</v>
      </c>
      <c r="H43" s="3">
        <f t="shared" si="11"/>
        <v>-25045.2279004384</v>
      </c>
      <c r="I43" s="3">
        <f t="shared" si="11"/>
        <v>-25795.487704697793</v>
      </c>
      <c r="J43" s="3">
        <f t="shared" si="11"/>
        <v>-26500.982190212322</v>
      </c>
      <c r="K43" s="3">
        <f t="shared" si="11"/>
        <v>-27164.135658629726</v>
      </c>
      <c r="L43" s="3">
        <f t="shared" si="11"/>
        <v>-27787.266433152821</v>
      </c>
      <c r="M43" s="3">
        <f t="shared" si="11"/>
        <v>-28372.588629981186</v>
      </c>
      <c r="N43" s="3">
        <f t="shared" si="11"/>
        <v>-28922.214300876502</v>
      </c>
      <c r="O43" s="3">
        <f t="shared" si="11"/>
        <v>-29438.15587782806</v>
      </c>
      <c r="P43" s="3">
        <f t="shared" si="11"/>
        <v>-28969.851952332181</v>
      </c>
      <c r="Q43" s="3">
        <f t="shared" si="11"/>
        <v>-28541.846116908091</v>
      </c>
      <c r="R43" s="3">
        <f t="shared" si="11"/>
        <v>-28150.68817878249</v>
      </c>
      <c r="S43" s="3">
        <f t="shared" si="11"/>
        <v>-27793.222094237695</v>
      </c>
      <c r="T43" s="3">
        <f t="shared" si="11"/>
        <v>-27466.560979739836</v>
      </c>
      <c r="U43" s="3">
        <f t="shared" si="11"/>
        <v>-27168.064239554282</v>
      </c>
      <c r="V43" s="3">
        <f t="shared" si="11"/>
        <v>-26895.316631048645</v>
      </c>
      <c r="W43" s="3">
        <f t="shared" si="11"/>
        <v>-26646.109103955197</v>
      </c>
      <c r="X43" s="3">
        <f t="shared" si="11"/>
        <v>-26418.42126366825</v>
      </c>
      <c r="Y43" s="3">
        <f t="shared" si="11"/>
        <v>-26210.405321293965</v>
      </c>
    </row>
    <row r="44" spans="1:26" x14ac:dyDescent="0.25">
      <c r="A44" s="31"/>
    </row>
    <row r="45" spans="1:26" x14ac:dyDescent="0.25">
      <c r="A45" s="32" t="s">
        <v>165</v>
      </c>
      <c r="B45" s="34"/>
      <c r="C45" s="34"/>
      <c r="D45" s="34"/>
      <c r="E45" s="36">
        <f>+NPV(E41,E38:Y38)</f>
        <v>-24277.385905733041</v>
      </c>
      <c r="F45" s="34"/>
    </row>
    <row r="46" spans="1:26" x14ac:dyDescent="0.25">
      <c r="A46" s="32" t="s">
        <v>166</v>
      </c>
      <c r="B46" s="34"/>
      <c r="C46" s="34"/>
      <c r="D46" s="34"/>
      <c r="E46" s="35">
        <f>+IRR(E38:Y38,10)</f>
        <v>-8.2830235111716943E-2</v>
      </c>
      <c r="F46" s="34"/>
    </row>
    <row r="47" spans="1:26" x14ac:dyDescent="0.25">
      <c r="A47" s="32" t="s">
        <v>167</v>
      </c>
      <c r="B47" s="34"/>
      <c r="C47" s="34"/>
      <c r="D47" s="34"/>
      <c r="E47" s="36" cm="1">
        <f t="array" ref="E47">+NPV(E41,E18:X18/-NPV(E41,E32:Y32))</f>
        <v>0.43402966494480921</v>
      </c>
      <c r="F47" s="34"/>
    </row>
    <row r="48" spans="1:26" x14ac:dyDescent="0.25">
      <c r="A48" s="32" t="s">
        <v>168</v>
      </c>
      <c r="B48" s="34"/>
      <c r="C48" s="34"/>
      <c r="D48" s="34"/>
      <c r="E48" s="34" t="e" cm="1">
        <f t="array" ref="E48">+LOOKUP(INDEX(E39:Y39,MATCH(TRUE,E39:Y39&gt;0,0)),E39:Y39,E9:Y9)</f>
        <v>#N/A</v>
      </c>
      <c r="F48" s="34" t="s">
        <v>170</v>
      </c>
    </row>
    <row r="49" spans="1:26" x14ac:dyDescent="0.25">
      <c r="A49" s="32" t="s">
        <v>169</v>
      </c>
      <c r="B49" s="34"/>
      <c r="C49" s="34"/>
      <c r="D49" s="34"/>
      <c r="E49" s="34" t="e" cm="1">
        <f t="array" ref="E49">+LOOKUP(INDEX(E43:Y43,MATCH(TRUE,E43:Y43&gt;0,0)),E43:Y43,E9:Y9)</f>
        <v>#N/A</v>
      </c>
      <c r="F49" s="34" t="s">
        <v>170</v>
      </c>
    </row>
    <row r="52" spans="1:26" x14ac:dyDescent="0.25">
      <c r="A52" s="63" t="s">
        <v>153</v>
      </c>
      <c r="B52" s="63"/>
      <c r="C52" s="63"/>
      <c r="D52" s="63"/>
      <c r="E52" s="3">
        <f>IF(E9&lt;&gt;"",E32,"")</f>
        <v>-22500</v>
      </c>
      <c r="F52" s="3">
        <f>IF(F9&lt;&gt;"",F32,"")</f>
        <v>-3237.7274578366705</v>
      </c>
      <c r="G52" s="3">
        <f t="shared" ref="G52:Y52" si="12">IF(G9&lt;&gt;"",G32,"")</f>
        <v>-3231.0414839945042</v>
      </c>
      <c r="H52" s="3">
        <f t="shared" si="12"/>
        <v>-3224.422369890759</v>
      </c>
      <c r="I52" s="3">
        <f t="shared" si="12"/>
        <v>-3217.8694469280526</v>
      </c>
      <c r="J52" s="3">
        <f t="shared" si="12"/>
        <v>-3211.3820531949714</v>
      </c>
      <c r="K52" s="3">
        <f t="shared" si="12"/>
        <v>-3204.9595333992229</v>
      </c>
      <c r="L52" s="3">
        <f t="shared" si="12"/>
        <v>-3198.6012388014315</v>
      </c>
      <c r="M52" s="3">
        <f t="shared" si="12"/>
        <v>-3192.3065271496171</v>
      </c>
      <c r="N52" s="3">
        <f t="shared" si="12"/>
        <v>-3186.0747626143211</v>
      </c>
      <c r="O52" s="3">
        <f t="shared" si="12"/>
        <v>-3179.9053157243779</v>
      </c>
      <c r="P52" s="3">
        <f t="shared" si="12"/>
        <v>-961.49551130528425</v>
      </c>
      <c r="Q52" s="3">
        <f t="shared" si="12"/>
        <v>-955.44883640845137</v>
      </c>
      <c r="R52" s="3">
        <f t="shared" si="12"/>
        <v>-949.46262826058683</v>
      </c>
      <c r="S52" s="3">
        <f t="shared" si="12"/>
        <v>-943.53628219420079</v>
      </c>
      <c r="T52" s="3">
        <f t="shared" si="12"/>
        <v>-937.66919958847848</v>
      </c>
      <c r="U52" s="3">
        <f t="shared" si="12"/>
        <v>-931.86078780881371</v>
      </c>
      <c r="V52" s="3">
        <f t="shared" si="12"/>
        <v>-926.11046014694557</v>
      </c>
      <c r="W52" s="3">
        <f t="shared" si="12"/>
        <v>-920.41763576169569</v>
      </c>
      <c r="X52" s="3">
        <f t="shared" si="12"/>
        <v>-914.78173962029905</v>
      </c>
      <c r="Y52" s="3">
        <f t="shared" si="12"/>
        <v>-909.20220244031589</v>
      </c>
      <c r="Z52" s="3"/>
    </row>
    <row r="53" spans="1:26" x14ac:dyDescent="0.25">
      <c r="A53" s="63" t="s">
        <v>154</v>
      </c>
      <c r="B53" s="63"/>
      <c r="C53" s="63"/>
      <c r="D53" s="63"/>
      <c r="E53" s="3">
        <f>IF(E9&lt;&gt;"",E52*(1+$E$41)^-E9,"")</f>
        <v>-22500</v>
      </c>
      <c r="F53" s="3">
        <f>IF(F9&lt;&gt;"",F52*(1+$E$41)^-F9,"")</f>
        <v>-2998.9448079091485</v>
      </c>
      <c r="G53" s="3">
        <f t="shared" ref="G53:Y53" si="13">IF(G9&lt;&gt;"",G52*(1+$E$41)^-G9,"")</f>
        <v>-2772.0362396707942</v>
      </c>
      <c r="H53" s="3">
        <f t="shared" si="13"/>
        <v>-2562.3383690402625</v>
      </c>
      <c r="I53" s="3">
        <f t="shared" si="13"/>
        <v>-2368.5423773775588</v>
      </c>
      <c r="J53" s="3">
        <f t="shared" si="13"/>
        <v>-2189.4392528696594</v>
      </c>
      <c r="K53" s="3">
        <f t="shared" si="13"/>
        <v>-2023.9121573759091</v>
      </c>
      <c r="L53" s="3">
        <f t="shared" si="13"/>
        <v>-1870.9293788312139</v>
      </c>
      <c r="M53" s="3">
        <f t="shared" si="13"/>
        <v>-1729.5378241450571</v>
      </c>
      <c r="N53" s="3">
        <f t="shared" si="13"/>
        <v>-1598.8570110134322</v>
      </c>
      <c r="O53" s="3">
        <f t="shared" si="13"/>
        <v>-1478.0735202704602</v>
      </c>
      <c r="P53" s="3">
        <f t="shared" si="13"/>
        <v>-413.95896635635529</v>
      </c>
      <c r="Q53" s="3">
        <f t="shared" si="13"/>
        <v>-381.01814069959374</v>
      </c>
      <c r="R53" s="3">
        <f t="shared" si="13"/>
        <v>-350.70687335804837</v>
      </c>
      <c r="S53" s="3">
        <f t="shared" si="13"/>
        <v>-322.81461758550932</v>
      </c>
      <c r="T53" s="3">
        <f t="shared" si="13"/>
        <v>-297.1477338627808</v>
      </c>
      <c r="U53" s="3">
        <f t="shared" si="13"/>
        <v>-273.52812848181281</v>
      </c>
      <c r="V53" s="3">
        <f t="shared" si="13"/>
        <v>-251.79200203984408</v>
      </c>
      <c r="W53" s="3">
        <f t="shared" si="13"/>
        <v>-231.78869894860853</v>
      </c>
      <c r="X53" s="3">
        <f t="shared" si="13"/>
        <v>-213.37964978516675</v>
      </c>
      <c r="Y53" s="3">
        <f t="shared" si="13"/>
        <v>-196.43739897377603</v>
      </c>
      <c r="Z53" s="3"/>
    </row>
    <row r="54" spans="1:26" x14ac:dyDescent="0.25">
      <c r="A54" s="63" t="s">
        <v>155</v>
      </c>
      <c r="B54" s="63"/>
      <c r="C54" s="63"/>
      <c r="D54" s="63"/>
      <c r="E54" s="3">
        <f>+E53</f>
        <v>-22500</v>
      </c>
      <c r="F54" s="3">
        <f>+E54+F53</f>
        <v>-25498.944807909149</v>
      </c>
      <c r="G54" s="3">
        <f t="shared" ref="G54:Y54" si="14">IF(G9&lt;&gt;"",F54+G53,"")</f>
        <v>-28270.981047579942</v>
      </c>
      <c r="H54" s="3">
        <f t="shared" si="14"/>
        <v>-30833.319416620205</v>
      </c>
      <c r="I54" s="3">
        <f t="shared" si="14"/>
        <v>-33201.861793997763</v>
      </c>
      <c r="J54" s="3">
        <f t="shared" si="14"/>
        <v>-35391.301046867426</v>
      </c>
      <c r="K54" s="3">
        <f t="shared" si="14"/>
        <v>-37415.213204243337</v>
      </c>
      <c r="L54" s="3">
        <f t="shared" si="14"/>
        <v>-39286.14258307455</v>
      </c>
      <c r="M54" s="3">
        <f t="shared" si="14"/>
        <v>-41015.68040721961</v>
      </c>
      <c r="N54" s="3">
        <f t="shared" si="14"/>
        <v>-42614.537418233042</v>
      </c>
      <c r="O54" s="3">
        <f t="shared" si="14"/>
        <v>-44092.610938503502</v>
      </c>
      <c r="P54" s="3">
        <f t="shared" si="14"/>
        <v>-44506.569904859854</v>
      </c>
      <c r="Q54" s="3">
        <f t="shared" si="14"/>
        <v>-44887.588045559445</v>
      </c>
      <c r="R54" s="3">
        <f t="shared" si="14"/>
        <v>-45238.294918917491</v>
      </c>
      <c r="S54" s="3">
        <f t="shared" si="14"/>
        <v>-45561.109536502998</v>
      </c>
      <c r="T54" s="3">
        <f t="shared" si="14"/>
        <v>-45858.257270365779</v>
      </c>
      <c r="U54" s="3">
        <f t="shared" si="14"/>
        <v>-46131.785398847591</v>
      </c>
      <c r="V54" s="3">
        <f t="shared" si="14"/>
        <v>-46383.577400887436</v>
      </c>
      <c r="W54" s="3">
        <f t="shared" si="14"/>
        <v>-46615.366099836043</v>
      </c>
      <c r="X54" s="3">
        <f t="shared" si="14"/>
        <v>-46828.745749621208</v>
      </c>
      <c r="Y54" s="3">
        <f t="shared" si="14"/>
        <v>-47025.183148594988</v>
      </c>
    </row>
    <row r="55" spans="1:26" x14ac:dyDescent="0.25">
      <c r="A55" s="63" t="s">
        <v>156</v>
      </c>
      <c r="B55" s="63"/>
      <c r="C55" s="63"/>
      <c r="D55" s="63"/>
      <c r="F55" s="3">
        <f t="shared" ref="F55:Y55" si="15">IF(F9&lt;&gt;"",F18,"")</f>
        <v>2265.8754518791352</v>
      </c>
      <c r="G55" s="3">
        <f t="shared" si="15"/>
        <v>2243.2166973603439</v>
      </c>
      <c r="H55" s="3">
        <f t="shared" si="15"/>
        <v>2220.7845303867407</v>
      </c>
      <c r="I55" s="3">
        <f t="shared" si="15"/>
        <v>2198.5766850828727</v>
      </c>
      <c r="J55" s="3">
        <f t="shared" si="15"/>
        <v>2176.5909182320443</v>
      </c>
      <c r="K55" s="3">
        <f t="shared" si="15"/>
        <v>2154.8250090497236</v>
      </c>
      <c r="L55" s="3">
        <f t="shared" si="15"/>
        <v>2133.2767589592263</v>
      </c>
      <c r="M55" s="3">
        <f t="shared" si="15"/>
        <v>2111.9439913696342</v>
      </c>
      <c r="N55" s="3">
        <f t="shared" si="15"/>
        <v>2090.8245514559376</v>
      </c>
      <c r="O55" s="3">
        <f t="shared" si="15"/>
        <v>2069.9163059413781</v>
      </c>
      <c r="P55" s="3">
        <f t="shared" si="15"/>
        <v>2049.2171428819647</v>
      </c>
      <c r="Q55" s="3">
        <f t="shared" si="15"/>
        <v>2028.7249714531445</v>
      </c>
      <c r="R55" s="3">
        <f t="shared" si="15"/>
        <v>2008.4377217386136</v>
      </c>
      <c r="S55" s="3">
        <f t="shared" si="15"/>
        <v>1988.3533445212267</v>
      </c>
      <c r="T55" s="3">
        <f t="shared" si="15"/>
        <v>1968.4698110760148</v>
      </c>
      <c r="U55" s="3">
        <f t="shared" si="15"/>
        <v>1948.7851129652545</v>
      </c>
      <c r="V55" s="3">
        <f t="shared" si="15"/>
        <v>1929.2972618356021</v>
      </c>
      <c r="W55" s="3">
        <f t="shared" si="15"/>
        <v>1910.004289217246</v>
      </c>
      <c r="X55" s="3">
        <f t="shared" si="15"/>
        <v>1890.9042463250735</v>
      </c>
      <c r="Y55" s="3">
        <f t="shared" si="15"/>
        <v>1871.9952038618226</v>
      </c>
    </row>
    <row r="56" spans="1:26" x14ac:dyDescent="0.25">
      <c r="A56" s="63" t="s">
        <v>157</v>
      </c>
      <c r="B56" s="63"/>
      <c r="C56" s="63"/>
      <c r="D56" s="63"/>
      <c r="F56" s="3">
        <f>IF(F9&lt;&gt;"",F55*(1+$E$41)^-F9,"")</f>
        <v>2098.7669624058021</v>
      </c>
      <c r="G56" s="3">
        <f t="shared" ref="G56:Y56" si="16">IF(G9&lt;&gt;"",G55*(1+$E$41)^-G9,"")</f>
        <v>1924.5429095605145</v>
      </c>
      <c r="H56" s="3">
        <f t="shared" si="16"/>
        <v>1764.7816442154856</v>
      </c>
      <c r="I56" s="3">
        <f t="shared" si="16"/>
        <v>1618.2825731181661</v>
      </c>
      <c r="J56" s="3">
        <f t="shared" si="16"/>
        <v>1483.9447673551306</v>
      </c>
      <c r="K56" s="3">
        <f t="shared" si="16"/>
        <v>1360.7586889585052</v>
      </c>
      <c r="L56" s="3">
        <f t="shared" si="16"/>
        <v>1247.7986043081203</v>
      </c>
      <c r="M56" s="3">
        <f t="shared" si="16"/>
        <v>1144.2156273166904</v>
      </c>
      <c r="N56" s="3">
        <f t="shared" si="16"/>
        <v>1049.2313401181184</v>
      </c>
      <c r="O56" s="3">
        <f t="shared" si="16"/>
        <v>962.13194331890122</v>
      </c>
      <c r="P56" s="3">
        <f t="shared" si="16"/>
        <v>882.26289185223334</v>
      </c>
      <c r="Q56" s="3">
        <f t="shared" si="16"/>
        <v>809.02397612368497</v>
      </c>
      <c r="R56" s="3">
        <f t="shared" si="16"/>
        <v>741.86481148364999</v>
      </c>
      <c r="S56" s="3">
        <f t="shared" si="16"/>
        <v>680.2807021303048</v>
      </c>
      <c r="T56" s="3">
        <f t="shared" si="16"/>
        <v>623.80884836064229</v>
      </c>
      <c r="U56" s="3">
        <f t="shared" si="16"/>
        <v>572.02486866736535</v>
      </c>
      <c r="V56" s="3">
        <f t="shared" si="16"/>
        <v>524.53961054548154</v>
      </c>
      <c r="W56" s="3">
        <f t="shared" si="16"/>
        <v>480.99622604205587</v>
      </c>
      <c r="X56" s="3">
        <f t="shared" si="16"/>
        <v>441.06749007211556</v>
      </c>
      <c r="Y56" s="3">
        <f t="shared" si="16"/>
        <v>404.45334134805887</v>
      </c>
    </row>
    <row r="57" spans="1:26" x14ac:dyDescent="0.25">
      <c r="A57" s="63" t="s">
        <v>158</v>
      </c>
      <c r="B57" s="63"/>
      <c r="C57" s="63"/>
      <c r="D57" s="63"/>
      <c r="F57" s="3">
        <f t="shared" ref="F57:Y57" si="17">IF(F9&lt;&gt;"",E57+F56,"")</f>
        <v>2098.7669624058021</v>
      </c>
      <c r="G57" s="3">
        <f t="shared" si="17"/>
        <v>4023.3098719663167</v>
      </c>
      <c r="H57" s="3">
        <f t="shared" si="17"/>
        <v>5788.091516181802</v>
      </c>
      <c r="I57" s="3">
        <f t="shared" si="17"/>
        <v>7406.3740892999685</v>
      </c>
      <c r="J57" s="3">
        <f t="shared" si="17"/>
        <v>8890.3188566550998</v>
      </c>
      <c r="K57" s="3">
        <f t="shared" si="17"/>
        <v>10251.077545613605</v>
      </c>
      <c r="L57" s="3">
        <f t="shared" si="17"/>
        <v>11498.876149921725</v>
      </c>
      <c r="M57" s="3">
        <f t="shared" si="17"/>
        <v>12643.091777238416</v>
      </c>
      <c r="N57" s="3">
        <f t="shared" si="17"/>
        <v>13692.323117356535</v>
      </c>
      <c r="O57" s="3">
        <f t="shared" si="17"/>
        <v>14654.455060675436</v>
      </c>
      <c r="P57" s="3">
        <f t="shared" si="17"/>
        <v>15536.71795252767</v>
      </c>
      <c r="Q57" s="3">
        <f t="shared" si="17"/>
        <v>16345.741928651354</v>
      </c>
      <c r="R57" s="3">
        <f t="shared" si="17"/>
        <v>17087.606740135005</v>
      </c>
      <c r="S57" s="3">
        <f t="shared" si="17"/>
        <v>17767.88744226531</v>
      </c>
      <c r="T57" s="3">
        <f t="shared" si="17"/>
        <v>18391.69629062595</v>
      </c>
      <c r="U57" s="3">
        <f t="shared" si="17"/>
        <v>18963.721159293316</v>
      </c>
      <c r="V57" s="3">
        <f t="shared" si="17"/>
        <v>19488.260769838798</v>
      </c>
      <c r="W57" s="3">
        <f t="shared" si="17"/>
        <v>19969.256995880853</v>
      </c>
      <c r="X57" s="3">
        <f t="shared" si="17"/>
        <v>20410.32448595297</v>
      </c>
      <c r="Y57" s="3">
        <f t="shared" si="17"/>
        <v>20814.77782730103</v>
      </c>
    </row>
    <row r="58" spans="1:26" x14ac:dyDescent="0.25">
      <c r="A58" s="63" t="s">
        <v>159</v>
      </c>
      <c r="B58" s="63"/>
      <c r="C58" s="63"/>
      <c r="D58" s="63"/>
      <c r="F58" s="3">
        <f t="shared" ref="F58:Y58" si="18">IF(F9&lt;&gt;"",F57+F54,"")</f>
        <v>-23400.177845503345</v>
      </c>
      <c r="G58" s="3">
        <f t="shared" si="18"/>
        <v>-24247.671175613625</v>
      </c>
      <c r="H58" s="3">
        <f t="shared" si="18"/>
        <v>-25045.227900438404</v>
      </c>
      <c r="I58" s="3">
        <f t="shared" si="18"/>
        <v>-25795.487704697793</v>
      </c>
      <c r="J58" s="3">
        <f t="shared" si="18"/>
        <v>-26500.982190212326</v>
      </c>
      <c r="K58" s="3">
        <f t="shared" si="18"/>
        <v>-27164.135658629733</v>
      </c>
      <c r="L58" s="3">
        <f t="shared" si="18"/>
        <v>-27787.266433152825</v>
      </c>
      <c r="M58" s="3">
        <f t="shared" si="18"/>
        <v>-28372.588629981194</v>
      </c>
      <c r="N58" s="3">
        <f t="shared" si="18"/>
        <v>-28922.214300876505</v>
      </c>
      <c r="O58" s="3">
        <f t="shared" si="18"/>
        <v>-29438.155877828067</v>
      </c>
      <c r="P58" s="3">
        <f t="shared" si="18"/>
        <v>-28969.851952332185</v>
      </c>
      <c r="Q58" s="3">
        <f t="shared" si="18"/>
        <v>-28541.846116908091</v>
      </c>
      <c r="R58" s="3">
        <f t="shared" si="18"/>
        <v>-28150.688178782486</v>
      </c>
      <c r="S58" s="3">
        <f t="shared" si="18"/>
        <v>-27793.222094237688</v>
      </c>
      <c r="T58" s="3">
        <f t="shared" si="18"/>
        <v>-27466.560979739828</v>
      </c>
      <c r="U58" s="3">
        <f t="shared" si="18"/>
        <v>-27168.064239554275</v>
      </c>
      <c r="V58" s="3">
        <f t="shared" si="18"/>
        <v>-26895.316631048638</v>
      </c>
      <c r="W58" s="3">
        <f t="shared" si="18"/>
        <v>-26646.10910395519</v>
      </c>
      <c r="X58" s="3">
        <f t="shared" si="18"/>
        <v>-26418.421263668239</v>
      </c>
      <c r="Y58" s="3">
        <f t="shared" si="18"/>
        <v>-26210.405321293958</v>
      </c>
    </row>
    <row r="59" spans="1:26" x14ac:dyDescent="0.25">
      <c r="A59" s="30" t="s">
        <v>160</v>
      </c>
      <c r="B59" s="30"/>
      <c r="C59" s="30"/>
      <c r="D59" s="30"/>
      <c r="E59" s="34"/>
      <c r="F59" s="33">
        <f>-F52/F14</f>
        <v>147.16942990166683</v>
      </c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1" spans="1:26" x14ac:dyDescent="0.25">
      <c r="A61" s="63" t="s">
        <v>171</v>
      </c>
      <c r="B61" s="63"/>
      <c r="C61" s="63"/>
      <c r="D61" s="63"/>
      <c r="E61" s="3">
        <f>E32</f>
        <v>-22500</v>
      </c>
      <c r="F61" s="3">
        <f t="shared" ref="F61:Y61" si="19">IF(F9="",E61,-F54)</f>
        <v>25498.944807909149</v>
      </c>
      <c r="G61" s="3">
        <f t="shared" si="19"/>
        <v>28270.981047579942</v>
      </c>
      <c r="H61" s="3">
        <f t="shared" si="19"/>
        <v>30833.319416620205</v>
      </c>
      <c r="I61" s="3">
        <f t="shared" si="19"/>
        <v>33201.861793997763</v>
      </c>
      <c r="J61" s="3">
        <f t="shared" si="19"/>
        <v>35391.301046867426</v>
      </c>
      <c r="K61" s="3">
        <f t="shared" si="19"/>
        <v>37415.213204243337</v>
      </c>
      <c r="L61" s="3">
        <f t="shared" si="19"/>
        <v>39286.14258307455</v>
      </c>
      <c r="M61" s="3">
        <f t="shared" si="19"/>
        <v>41015.68040721961</v>
      </c>
      <c r="N61" s="3">
        <f t="shared" si="19"/>
        <v>42614.537418233042</v>
      </c>
      <c r="O61" s="3">
        <f t="shared" si="19"/>
        <v>44092.610938503502</v>
      </c>
      <c r="P61" s="3">
        <f t="shared" si="19"/>
        <v>44506.569904859854</v>
      </c>
      <c r="Q61" s="3">
        <f t="shared" si="19"/>
        <v>44887.588045559445</v>
      </c>
      <c r="R61" s="3">
        <f t="shared" si="19"/>
        <v>45238.294918917491</v>
      </c>
      <c r="S61" s="3">
        <f t="shared" si="19"/>
        <v>45561.109536502998</v>
      </c>
      <c r="T61" s="3">
        <f t="shared" si="19"/>
        <v>45858.257270365779</v>
      </c>
      <c r="U61" s="3">
        <f t="shared" si="19"/>
        <v>46131.785398847591</v>
      </c>
      <c r="V61" s="3">
        <f t="shared" si="19"/>
        <v>46383.577400887436</v>
      </c>
      <c r="W61" s="3">
        <f t="shared" si="19"/>
        <v>46615.366099836043</v>
      </c>
      <c r="X61" s="3">
        <f t="shared" si="19"/>
        <v>46828.745749621208</v>
      </c>
      <c r="Y61" s="3">
        <f t="shared" si="19"/>
        <v>47025.183148594988</v>
      </c>
    </row>
    <row r="62" spans="1:26" x14ac:dyDescent="0.25">
      <c r="A62" s="63" t="s">
        <v>172</v>
      </c>
      <c r="B62" s="63"/>
      <c r="C62" s="63"/>
      <c r="D62" s="63"/>
      <c r="F62" s="3">
        <f t="shared" ref="F62:Y62" si="20">IF(F9="",E62,F57)</f>
        <v>2098.7669624058021</v>
      </c>
      <c r="G62" s="3">
        <f t="shared" si="20"/>
        <v>4023.3098719663167</v>
      </c>
      <c r="H62" s="3">
        <f t="shared" si="20"/>
        <v>5788.091516181802</v>
      </c>
      <c r="I62" s="3">
        <f t="shared" si="20"/>
        <v>7406.3740892999685</v>
      </c>
      <c r="J62" s="3">
        <f t="shared" si="20"/>
        <v>8890.3188566550998</v>
      </c>
      <c r="K62" s="3">
        <f t="shared" si="20"/>
        <v>10251.077545613605</v>
      </c>
      <c r="L62" s="3">
        <f t="shared" si="20"/>
        <v>11498.876149921725</v>
      </c>
      <c r="M62" s="3">
        <f t="shared" si="20"/>
        <v>12643.091777238416</v>
      </c>
      <c r="N62" s="3">
        <f t="shared" si="20"/>
        <v>13692.323117356535</v>
      </c>
      <c r="O62" s="3">
        <f t="shared" si="20"/>
        <v>14654.455060675436</v>
      </c>
      <c r="P62" s="3">
        <f t="shared" si="20"/>
        <v>15536.71795252767</v>
      </c>
      <c r="Q62" s="3">
        <f t="shared" si="20"/>
        <v>16345.741928651354</v>
      </c>
      <c r="R62" s="3">
        <f t="shared" si="20"/>
        <v>17087.606740135005</v>
      </c>
      <c r="S62" s="3">
        <f t="shared" si="20"/>
        <v>17767.88744226531</v>
      </c>
      <c r="T62" s="3">
        <f t="shared" si="20"/>
        <v>18391.69629062595</v>
      </c>
      <c r="U62" s="3">
        <f t="shared" si="20"/>
        <v>18963.721159293316</v>
      </c>
      <c r="V62" s="3">
        <f t="shared" si="20"/>
        <v>19488.260769838798</v>
      </c>
      <c r="W62" s="3">
        <f t="shared" si="20"/>
        <v>19969.256995880853</v>
      </c>
      <c r="X62" s="3">
        <f t="shared" si="20"/>
        <v>20410.32448595297</v>
      </c>
      <c r="Y62" s="3">
        <f t="shared" si="20"/>
        <v>20814.77782730103</v>
      </c>
    </row>
  </sheetData>
  <mergeCells count="36">
    <mergeCell ref="A28:D28"/>
    <mergeCell ref="E3:H3"/>
    <mergeCell ref="A25:D25"/>
    <mergeCell ref="A26:D26"/>
    <mergeCell ref="A7:D7"/>
    <mergeCell ref="A9:D9"/>
    <mergeCell ref="A11:D11"/>
    <mergeCell ref="A12:D12"/>
    <mergeCell ref="A21:D21"/>
    <mergeCell ref="A16:D16"/>
    <mergeCell ref="A20:D20"/>
    <mergeCell ref="A57:D57"/>
    <mergeCell ref="A33:D33"/>
    <mergeCell ref="A35:D35"/>
    <mergeCell ref="A36:D36"/>
    <mergeCell ref="A52:D52"/>
    <mergeCell ref="A53:D53"/>
    <mergeCell ref="A54:D54"/>
    <mergeCell ref="A55:D55"/>
    <mergeCell ref="A56:D56"/>
    <mergeCell ref="I7:J7"/>
    <mergeCell ref="N7:O7"/>
    <mergeCell ref="A58:D58"/>
    <mergeCell ref="A61:D61"/>
    <mergeCell ref="A62:D62"/>
    <mergeCell ref="A24:D24"/>
    <mergeCell ref="A27:D27"/>
    <mergeCell ref="A30:D30"/>
    <mergeCell ref="A29:D29"/>
    <mergeCell ref="A13:D13"/>
    <mergeCell ref="A17:D17"/>
    <mergeCell ref="A19:D19"/>
    <mergeCell ref="A14:D14"/>
    <mergeCell ref="A18:D18"/>
    <mergeCell ref="A23:D23"/>
    <mergeCell ref="A15:D15"/>
  </mergeCells>
  <dataValidations count="2">
    <dataValidation allowBlank="1" showInputMessage="1" showErrorMessage="1" promptTitle="BrutoDobit" prompt="Bruto dobit prema Bilansu uspeha, ne obuhvata otplatu glavice." sqref="A33:D34"/>
    <dataValidation allowBlank="1" showInputMessage="1" showErrorMessage="1" promptTitle="CashFlow" prompt="Ne obuhvata amortizaciju, ali obuhvata otplatu glavnice." sqref="A38"/>
  </dataValidations>
  <hyperlinks>
    <hyperlink ref="I7:J7" location="Annuity!I4" display="NAZAD"/>
    <hyperlink ref="N7:O7" location="Econ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Z64"/>
  <sheetViews>
    <sheetView showZeros="0" zoomScale="80" zoomScaleNormal="80" workbookViewId="0">
      <selection activeCell="F15" sqref="F15"/>
    </sheetView>
  </sheetViews>
  <sheetFormatPr defaultRowHeight="15" x14ac:dyDescent="0.25"/>
  <cols>
    <col min="4" max="4" width="12.85546875" customWidth="1"/>
    <col min="5" max="5" width="12.140625" customWidth="1"/>
    <col min="6" max="6" width="11.42578125" customWidth="1"/>
    <col min="7" max="7" width="11.28515625" customWidth="1"/>
    <col min="8" max="8" width="10.85546875" customWidth="1"/>
    <col min="9" max="9" width="10.7109375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1.28515625" customWidth="1"/>
    <col min="19" max="19" width="12.42578125" customWidth="1"/>
    <col min="20" max="20" width="13.140625" customWidth="1"/>
    <col min="21" max="21" width="12.85546875" customWidth="1"/>
    <col min="22" max="22" width="12" customWidth="1"/>
    <col min="23" max="23" width="12.42578125" customWidth="1"/>
    <col min="24" max="24" width="12" customWidth="1"/>
    <col min="25" max="25" width="12.5703125" customWidth="1"/>
  </cols>
  <sheetData>
    <row r="3" spans="1:25" ht="16.5" x14ac:dyDescent="0.35">
      <c r="F3" s="52" t="s">
        <v>136</v>
      </c>
      <c r="G3" s="52"/>
      <c r="H3" s="52"/>
      <c r="I3" s="52"/>
    </row>
    <row r="7" spans="1:25" ht="21" x14ac:dyDescent="0.35">
      <c r="A7" s="71" t="s">
        <v>137</v>
      </c>
      <c r="B7" s="71"/>
      <c r="C7" s="71"/>
      <c r="D7" s="71"/>
      <c r="I7" s="56" t="s">
        <v>114</v>
      </c>
      <c r="J7" s="56"/>
      <c r="N7" s="57" t="s">
        <v>115</v>
      </c>
      <c r="O7" s="57"/>
    </row>
    <row r="9" spans="1:25" x14ac:dyDescent="0.25">
      <c r="A9" s="55" t="s">
        <v>11</v>
      </c>
      <c r="B9" s="55"/>
      <c r="C9" s="55"/>
      <c r="D9" s="55"/>
      <c r="E9" s="17">
        <v>0</v>
      </c>
      <c r="F9" s="17">
        <v>1</v>
      </c>
      <c r="G9" s="17">
        <f>IF(F9&lt;UnosPodataka!$M$25,'FinInd+CO2'!F9+1,"")</f>
        <v>2</v>
      </c>
      <c r="H9" s="17">
        <f>IF(G9&lt;UnosPodataka!$M$25,'FinInd+CO2'!G9+1,"")</f>
        <v>3</v>
      </c>
      <c r="I9" s="17">
        <f>IF(H9&lt;UnosPodataka!$M$25,'FinInd+CO2'!H9+1,"")</f>
        <v>4</v>
      </c>
      <c r="J9" s="17">
        <f>IF(I9&lt;UnosPodataka!$M$25,'FinInd+CO2'!I9+1,"")</f>
        <v>5</v>
      </c>
      <c r="K9" s="17">
        <f>IF(J9&lt;UnosPodataka!$M$25,'FinInd+CO2'!J9+1,"")</f>
        <v>6</v>
      </c>
      <c r="L9" s="17">
        <f>IF(K9&lt;UnosPodataka!$M$25,'FinInd+CO2'!K9+1,"")</f>
        <v>7</v>
      </c>
      <c r="M9" s="17">
        <f>IF(L9&lt;UnosPodataka!$M$25,'FinInd+CO2'!L9+1,"")</f>
        <v>8</v>
      </c>
      <c r="N9" s="17">
        <f>IF(M9&lt;UnosPodataka!$M$25,'FinInd+CO2'!M9+1,"")</f>
        <v>9</v>
      </c>
      <c r="O9" s="17">
        <f>IF(N9&lt;UnosPodataka!$M$25,'FinInd+CO2'!N9+1,"")</f>
        <v>10</v>
      </c>
      <c r="P9" s="17">
        <f>IF(O9&lt;UnosPodataka!$M$25,'FinInd+CO2'!O9+1,"")</f>
        <v>11</v>
      </c>
      <c r="Q9" s="17">
        <f>IF(P9&lt;UnosPodataka!$M$25,'FinInd+CO2'!P9+1,"")</f>
        <v>12</v>
      </c>
      <c r="R9" s="17">
        <f>IF(Q9&lt;UnosPodataka!$M$25,'FinInd+CO2'!Q9+1,"")</f>
        <v>13</v>
      </c>
      <c r="S9" s="17">
        <f>IF(R9&lt;UnosPodataka!$M$25,'FinInd+CO2'!R9+1,"")</f>
        <v>14</v>
      </c>
      <c r="T9" s="17">
        <f>IF(S9&lt;UnosPodataka!$M$25,'FinInd+CO2'!S9+1,"")</f>
        <v>15</v>
      </c>
      <c r="U9" s="17">
        <f>IF(T9&lt;UnosPodataka!$M$25,'FinInd+CO2'!T9+1,"")</f>
        <v>16</v>
      </c>
      <c r="V9" s="17">
        <f>IF(U9&lt;UnosPodataka!$M$25,'FinInd+CO2'!U9+1,"")</f>
        <v>17</v>
      </c>
      <c r="W9" s="17">
        <f>IF(V9&lt;UnosPodataka!$M$25,'FinInd+CO2'!V9+1,"")</f>
        <v>18</v>
      </c>
      <c r="X9" s="17">
        <f>IF(W9&lt;UnosPodataka!$M$25,'FinInd+CO2'!W9+1,"")</f>
        <v>19</v>
      </c>
      <c r="Y9" s="17">
        <f>IF(X9&lt;UnosPodataka!$M$25,'FinInd+CO2'!X9+1,"")</f>
        <v>20</v>
      </c>
    </row>
    <row r="11" spans="1:25" x14ac:dyDescent="0.25">
      <c r="A11" s="63" t="s">
        <v>41</v>
      </c>
      <c r="B11" s="63"/>
      <c r="C11" s="63"/>
      <c r="D11" s="63"/>
      <c r="E11" s="3">
        <f>Loan</f>
        <v>12500</v>
      </c>
    </row>
    <row r="12" spans="1:25" x14ac:dyDescent="0.25">
      <c r="A12" s="63" t="s">
        <v>29</v>
      </c>
      <c r="B12" s="63"/>
      <c r="C12" s="63"/>
      <c r="D12" s="63"/>
      <c r="E12" s="3">
        <f>IF(Equity=0,Loan,Equity)</f>
        <v>5000</v>
      </c>
    </row>
    <row r="13" spans="1:25" x14ac:dyDescent="0.25">
      <c r="A13" s="63" t="s">
        <v>138</v>
      </c>
      <c r="B13" s="63"/>
      <c r="C13" s="63"/>
      <c r="D13" s="63"/>
      <c r="E13" s="3">
        <f>+PomTab1!K22</f>
        <v>5000</v>
      </c>
    </row>
    <row r="14" spans="1:25" x14ac:dyDescent="0.25">
      <c r="A14" s="63" t="s">
        <v>47</v>
      </c>
      <c r="B14" s="63"/>
      <c r="C14" s="63"/>
      <c r="D14" s="63"/>
      <c r="F14" s="3">
        <f t="shared" ref="F14:Y14" si="0">IF(F9&lt;&gt;"",EPROD*(1-0.01)^E9,"")</f>
        <v>22</v>
      </c>
      <c r="G14" s="3">
        <f t="shared" si="0"/>
        <v>21.78</v>
      </c>
      <c r="H14" s="3">
        <f t="shared" si="0"/>
        <v>21.562200000000001</v>
      </c>
      <c r="I14" s="3">
        <f t="shared" si="0"/>
        <v>21.346577999999997</v>
      </c>
      <c r="J14" s="3">
        <f t="shared" si="0"/>
        <v>21.133112219999997</v>
      </c>
      <c r="K14" s="3">
        <f t="shared" si="0"/>
        <v>20.921781097799997</v>
      </c>
      <c r="L14" s="3">
        <f t="shared" si="0"/>
        <v>20.712563286821997</v>
      </c>
      <c r="M14" s="3">
        <f t="shared" si="0"/>
        <v>20.505437653953777</v>
      </c>
      <c r="N14" s="3">
        <f t="shared" si="0"/>
        <v>20.300383277414237</v>
      </c>
      <c r="O14" s="3">
        <f t="shared" si="0"/>
        <v>20.097379444640097</v>
      </c>
      <c r="P14" s="3">
        <f t="shared" si="0"/>
        <v>19.896405650193696</v>
      </c>
      <c r="Q14" s="3">
        <f t="shared" si="0"/>
        <v>19.697441593691757</v>
      </c>
      <c r="R14" s="3">
        <f t="shared" si="0"/>
        <v>19.500467177754842</v>
      </c>
      <c r="S14" s="3">
        <f t="shared" si="0"/>
        <v>19.305462505977289</v>
      </c>
      <c r="T14" s="3">
        <f t="shared" si="0"/>
        <v>19.11240788091752</v>
      </c>
      <c r="U14" s="3">
        <f t="shared" si="0"/>
        <v>18.921283802108341</v>
      </c>
      <c r="V14" s="3">
        <f t="shared" si="0"/>
        <v>18.73207096408726</v>
      </c>
      <c r="W14" s="3">
        <f t="shared" si="0"/>
        <v>18.544750254446384</v>
      </c>
      <c r="X14" s="3">
        <f t="shared" si="0"/>
        <v>18.359302751901922</v>
      </c>
      <c r="Y14" s="3">
        <f t="shared" si="0"/>
        <v>18.175709724382902</v>
      </c>
    </row>
    <row r="15" spans="1:25" ht="18" x14ac:dyDescent="0.35">
      <c r="A15" s="63" t="s">
        <v>44</v>
      </c>
      <c r="B15" s="63"/>
      <c r="C15" s="63"/>
      <c r="D15" s="63"/>
      <c r="F15" s="3">
        <f>IF(F9&lt;&gt;"",VLOOKUP(UnosPodataka!$M$23,PomTab1!$O$29:$Q$40,3,FALSE)*F14,"")</f>
        <v>3.8463333333333334</v>
      </c>
      <c r="G15" s="3">
        <f>IF(G9&lt;&gt;"",VLOOKUP(UnosPodataka!$M$23,PomTab1!$O$29:$Q$40,3,FALSE)*G14,"")</f>
        <v>3.8078700000000003</v>
      </c>
      <c r="H15" s="3">
        <f>IF(H9&lt;&gt;"",VLOOKUP(UnosPodataka!$M$23,PomTab1!$O$29:$Q$40,3,FALSE)*H14,"")</f>
        <v>3.7697913000000001</v>
      </c>
      <c r="I15" s="3">
        <f>IF(I9&lt;&gt;"",VLOOKUP(UnosPodataka!$M$23,PomTab1!$O$29:$Q$40,3,FALSE)*I14,"")</f>
        <v>3.7320933869999995</v>
      </c>
      <c r="J15" s="3">
        <f>IF(J9&lt;&gt;"",VLOOKUP(UnosPodataka!$M$23,PomTab1!$O$29:$Q$40,3,FALSE)*J14,"")</f>
        <v>3.6947724531299997</v>
      </c>
      <c r="K15" s="3">
        <f>IF(K9&lt;&gt;"",VLOOKUP(UnosPodataka!$M$23,PomTab1!$O$29:$Q$40,3,FALSE)*K14,"")</f>
        <v>3.6578247285986998</v>
      </c>
      <c r="L15" s="3">
        <f>IF(L9&lt;&gt;"",VLOOKUP(UnosPodataka!$M$23,PomTab1!$O$29:$Q$40,3,FALSE)*L14,"")</f>
        <v>3.6212464813127125</v>
      </c>
      <c r="M15" s="3">
        <f>IF(M9&lt;&gt;"",VLOOKUP(UnosPodataka!$M$23,PomTab1!$O$29:$Q$40,3,FALSE)*M14,"")</f>
        <v>3.5850340164995855</v>
      </c>
      <c r="N15" s="3">
        <f>IF(N9&lt;&gt;"",VLOOKUP(UnosPodataka!$M$23,PomTab1!$O$29:$Q$40,3,FALSE)*N14,"")</f>
        <v>3.5491836763345894</v>
      </c>
      <c r="O15" s="3">
        <f>IF(O9&lt;&gt;"",VLOOKUP(UnosPodataka!$M$23,PomTab1!$O$29:$Q$40,3,FALSE)*O14,"")</f>
        <v>3.5136918395712438</v>
      </c>
      <c r="P15" s="3">
        <f>IF(P9&lt;&gt;"",VLOOKUP(UnosPodataka!$M$23,PomTab1!$O$29:$Q$40,3,FALSE)*P14,"")</f>
        <v>3.4785549211755313</v>
      </c>
      <c r="Q15" s="3">
        <f>IF(Q9&lt;&gt;"",VLOOKUP(UnosPodataka!$M$23,PomTab1!$O$29:$Q$40,3,FALSE)*Q14,"")</f>
        <v>3.4437693719637754</v>
      </c>
      <c r="R15" s="3">
        <f>IF(R9&lt;&gt;"",VLOOKUP(UnosPodataka!$M$23,PomTab1!$O$29:$Q$40,3,FALSE)*R14,"")</f>
        <v>3.4093316782441385</v>
      </c>
      <c r="S15" s="3">
        <f>IF(S9&lt;&gt;"",VLOOKUP(UnosPodataka!$M$23,PomTab1!$O$29:$Q$40,3,FALSE)*S14,"")</f>
        <v>3.3752383614616961</v>
      </c>
      <c r="T15" s="3">
        <f>IF(T9&lt;&gt;"",VLOOKUP(UnosPodataka!$M$23,PomTab1!$O$29:$Q$40,3,FALSE)*T14,"")</f>
        <v>3.3414859778470798</v>
      </c>
      <c r="U15" s="3">
        <f>IF(U9&lt;&gt;"",VLOOKUP(UnosPodataka!$M$23,PomTab1!$O$29:$Q$40,3,FALSE)*U14,"")</f>
        <v>3.3080711180686087</v>
      </c>
      <c r="V15" s="3">
        <f>IF(V9&lt;&gt;"",VLOOKUP(UnosPodataka!$M$23,PomTab1!$O$29:$Q$40,3,FALSE)*V14,"")</f>
        <v>3.2749904068879228</v>
      </c>
      <c r="W15" s="3">
        <f>IF(W9&lt;&gt;"",VLOOKUP(UnosPodataka!$M$23,PomTab1!$O$29:$Q$40,3,FALSE)*W14,"")</f>
        <v>3.2422405028190431</v>
      </c>
      <c r="X15" s="3">
        <f>IF(X9&lt;&gt;"",VLOOKUP(UnosPodataka!$M$23,PomTab1!$O$29:$Q$40,3,FALSE)*X14,"")</f>
        <v>3.2098180977908526</v>
      </c>
      <c r="Y15" s="3">
        <f>IF(Y9&lt;&gt;"",VLOOKUP(UnosPodataka!$M$23,PomTab1!$O$29:$Q$40,3,FALSE)*Y14,"")</f>
        <v>3.177719916812944</v>
      </c>
    </row>
    <row r="16" spans="1:25" x14ac:dyDescent="0.25">
      <c r="A16" s="67"/>
      <c r="B16" s="67"/>
      <c r="C16" s="67"/>
      <c r="D16" s="67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x14ac:dyDescent="0.25">
      <c r="A17" s="55" t="s">
        <v>139</v>
      </c>
      <c r="B17" s="55"/>
      <c r="C17" s="55"/>
      <c r="D17" s="55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x14ac:dyDescent="0.25">
      <c r="A18" s="63" t="s">
        <v>152</v>
      </c>
      <c r="B18" s="63"/>
      <c r="C18" s="63"/>
      <c r="D18" s="63"/>
      <c r="F18" s="3">
        <f t="shared" ref="F18:Y18" si="1">IF(F9&lt;&gt;"",F14*ECOST/Kurs_EUR,"")</f>
        <v>2265.8754518791352</v>
      </c>
      <c r="G18" s="3">
        <f t="shared" si="1"/>
        <v>2243.2166973603439</v>
      </c>
      <c r="H18" s="3">
        <f t="shared" si="1"/>
        <v>2220.7845303867407</v>
      </c>
      <c r="I18" s="3">
        <f t="shared" si="1"/>
        <v>2198.5766850828727</v>
      </c>
      <c r="J18" s="3">
        <f t="shared" si="1"/>
        <v>2176.5909182320443</v>
      </c>
      <c r="K18" s="3">
        <f t="shared" si="1"/>
        <v>2154.8250090497236</v>
      </c>
      <c r="L18" s="3">
        <f t="shared" si="1"/>
        <v>2133.2767589592263</v>
      </c>
      <c r="M18" s="3">
        <f t="shared" si="1"/>
        <v>2111.9439913696342</v>
      </c>
      <c r="N18" s="3">
        <f t="shared" si="1"/>
        <v>2090.8245514559376</v>
      </c>
      <c r="O18" s="3">
        <f t="shared" si="1"/>
        <v>2069.9163059413781</v>
      </c>
      <c r="P18" s="3">
        <f t="shared" si="1"/>
        <v>2049.2171428819647</v>
      </c>
      <c r="Q18" s="3">
        <f t="shared" si="1"/>
        <v>2028.7249714531445</v>
      </c>
      <c r="R18" s="3">
        <f t="shared" si="1"/>
        <v>2008.4377217386136</v>
      </c>
      <c r="S18" s="3">
        <f t="shared" si="1"/>
        <v>1988.3533445212267</v>
      </c>
      <c r="T18" s="3">
        <f t="shared" si="1"/>
        <v>1968.4698110760148</v>
      </c>
      <c r="U18" s="3">
        <f t="shared" si="1"/>
        <v>1948.7851129652545</v>
      </c>
      <c r="V18" s="3">
        <f t="shared" si="1"/>
        <v>1929.2972618356021</v>
      </c>
      <c r="W18" s="3">
        <f t="shared" si="1"/>
        <v>1910.004289217246</v>
      </c>
      <c r="X18" s="3">
        <f t="shared" si="1"/>
        <v>1890.9042463250735</v>
      </c>
      <c r="Y18" s="3">
        <f t="shared" si="1"/>
        <v>1871.9952038618226</v>
      </c>
    </row>
    <row r="19" spans="1:25" ht="18" x14ac:dyDescent="0.35">
      <c r="A19" s="63" t="s">
        <v>173</v>
      </c>
      <c r="B19" s="63"/>
      <c r="C19" s="63"/>
      <c r="D19" s="63"/>
      <c r="F19" s="3">
        <f t="shared" ref="F19:Y19" si="2">IF(F9&lt;&gt;"",IF(F15&lt;0,0,F15)*CO2Tax,"")</f>
        <v>374.78672</v>
      </c>
      <c r="G19" s="3">
        <f t="shared" si="2"/>
        <v>371.03885280000003</v>
      </c>
      <c r="H19" s="3">
        <f t="shared" si="2"/>
        <v>367.32846427200002</v>
      </c>
      <c r="I19" s="3">
        <f t="shared" si="2"/>
        <v>363.65517962927993</v>
      </c>
      <c r="J19" s="3">
        <f t="shared" si="2"/>
        <v>360.01862783298714</v>
      </c>
      <c r="K19" s="3">
        <f t="shared" si="2"/>
        <v>356.41844155465731</v>
      </c>
      <c r="L19" s="3">
        <f t="shared" si="2"/>
        <v>352.8542571391107</v>
      </c>
      <c r="M19" s="3">
        <f t="shared" si="2"/>
        <v>349.32571456771961</v>
      </c>
      <c r="N19" s="3">
        <f t="shared" si="2"/>
        <v>345.83245742204241</v>
      </c>
      <c r="O19" s="3">
        <f t="shared" si="2"/>
        <v>342.37413284782201</v>
      </c>
      <c r="P19" s="3">
        <f t="shared" si="2"/>
        <v>338.95039151934378</v>
      </c>
      <c r="Q19" s="3">
        <f t="shared" si="2"/>
        <v>335.56088760415025</v>
      </c>
      <c r="R19" s="3">
        <f t="shared" si="2"/>
        <v>332.20527872810885</v>
      </c>
      <c r="S19" s="3">
        <f t="shared" si="2"/>
        <v>328.88322594082769</v>
      </c>
      <c r="T19" s="3">
        <f t="shared" si="2"/>
        <v>325.59439368141943</v>
      </c>
      <c r="U19" s="3">
        <f t="shared" si="2"/>
        <v>322.33844974460521</v>
      </c>
      <c r="V19" s="3">
        <f t="shared" si="2"/>
        <v>319.11506524715918</v>
      </c>
      <c r="W19" s="3">
        <f t="shared" si="2"/>
        <v>315.92391459468757</v>
      </c>
      <c r="X19" s="3">
        <f t="shared" si="2"/>
        <v>312.76467544874066</v>
      </c>
      <c r="Y19" s="3">
        <f t="shared" si="2"/>
        <v>309.63702869425327</v>
      </c>
    </row>
    <row r="20" spans="1:25" x14ac:dyDescent="0.25">
      <c r="A20" s="69" t="s">
        <v>140</v>
      </c>
      <c r="B20" s="69"/>
      <c r="C20" s="69"/>
      <c r="D20" s="69"/>
      <c r="E20" s="28"/>
      <c r="F20" s="29">
        <f t="shared" ref="F20:Y20" si="3">IF(F9&lt;&gt;"",F18+F19,"")</f>
        <v>2640.6621718791353</v>
      </c>
      <c r="G20" s="29">
        <f t="shared" si="3"/>
        <v>2614.2555501603438</v>
      </c>
      <c r="H20" s="29">
        <f t="shared" si="3"/>
        <v>2588.1129946587407</v>
      </c>
      <c r="I20" s="29">
        <f t="shared" si="3"/>
        <v>2562.2318647121529</v>
      </c>
      <c r="J20" s="29">
        <f t="shared" si="3"/>
        <v>2536.6095460650313</v>
      </c>
      <c r="K20" s="29">
        <f t="shared" si="3"/>
        <v>2511.243450604381</v>
      </c>
      <c r="L20" s="29">
        <f t="shared" si="3"/>
        <v>2486.1310160983371</v>
      </c>
      <c r="M20" s="29">
        <f t="shared" si="3"/>
        <v>2461.269705937354</v>
      </c>
      <c r="N20" s="29">
        <f t="shared" si="3"/>
        <v>2436.6570088779799</v>
      </c>
      <c r="O20" s="29">
        <f t="shared" si="3"/>
        <v>2412.2904387892004</v>
      </c>
      <c r="P20" s="29">
        <f t="shared" si="3"/>
        <v>2388.1675344013083</v>
      </c>
      <c r="Q20" s="29">
        <f t="shared" si="3"/>
        <v>2364.2858590572946</v>
      </c>
      <c r="R20" s="29">
        <f t="shared" si="3"/>
        <v>2340.6430004667227</v>
      </c>
      <c r="S20" s="29">
        <f t="shared" si="3"/>
        <v>2317.2365704620543</v>
      </c>
      <c r="T20" s="29">
        <f t="shared" si="3"/>
        <v>2294.0642047574343</v>
      </c>
      <c r="U20" s="29">
        <f t="shared" si="3"/>
        <v>2271.1235627098595</v>
      </c>
      <c r="V20" s="29">
        <f t="shared" si="3"/>
        <v>2248.4123270827613</v>
      </c>
      <c r="W20" s="29">
        <f t="shared" si="3"/>
        <v>2225.9282038119336</v>
      </c>
      <c r="X20" s="29">
        <f t="shared" si="3"/>
        <v>2203.668921773814</v>
      </c>
      <c r="Y20" s="29">
        <f t="shared" si="3"/>
        <v>2181.6322325560759</v>
      </c>
    </row>
    <row r="21" spans="1:25" x14ac:dyDescent="0.25">
      <c r="A21" s="67"/>
      <c r="B21" s="67"/>
      <c r="C21" s="67"/>
      <c r="D21" s="67"/>
    </row>
    <row r="22" spans="1:25" x14ac:dyDescent="0.25">
      <c r="A22" s="55" t="s">
        <v>141</v>
      </c>
      <c r="B22" s="55"/>
      <c r="C22" s="55"/>
      <c r="D22" s="55"/>
    </row>
    <row r="23" spans="1:25" x14ac:dyDescent="0.25">
      <c r="A23" s="63" t="s">
        <v>142</v>
      </c>
      <c r="B23" s="63"/>
      <c r="C23" s="63"/>
      <c r="D23" s="63"/>
      <c r="F23" s="3">
        <f>+FinaIndicators!F21</f>
        <v>-1500</v>
      </c>
      <c r="G23" s="3">
        <f>+FinaIndicators!G21</f>
        <v>-1414.5237537602338</v>
      </c>
      <c r="H23" s="3">
        <f>+FinaIndicators!H21</f>
        <v>-1318.7903579716958</v>
      </c>
      <c r="I23" s="3">
        <f>+FinaIndicators!I21</f>
        <v>-1211.568954688533</v>
      </c>
      <c r="J23" s="3">
        <f>+FinaIndicators!J21</f>
        <v>-1091.4809830113909</v>
      </c>
      <c r="K23" s="3">
        <f>+FinaIndicators!K21</f>
        <v>-956.98245473299176</v>
      </c>
      <c r="L23" s="3">
        <f>+FinaIndicators!L21</f>
        <v>-806.34410306118468</v>
      </c>
      <c r="M23" s="3">
        <f>+FinaIndicators!M21</f>
        <v>-637.62914918876072</v>
      </c>
      <c r="N23" s="3">
        <f>+FinaIndicators!N21</f>
        <v>-448.66840085164591</v>
      </c>
      <c r="O23" s="3">
        <f>+FinaIndicators!O21</f>
        <v>-237.03236271407729</v>
      </c>
      <c r="P23" s="3" t="str">
        <f>+FinaIndicators!P21</f>
        <v/>
      </c>
      <c r="Q23" s="3" t="str">
        <f>+FinaIndicators!Q21</f>
        <v/>
      </c>
      <c r="R23" s="3" t="str">
        <f>+FinaIndicators!R21</f>
        <v/>
      </c>
      <c r="S23" s="3" t="str">
        <f>+FinaIndicators!S21</f>
        <v/>
      </c>
      <c r="T23" s="3" t="str">
        <f>+FinaIndicators!T21</f>
        <v/>
      </c>
      <c r="U23" s="3" t="str">
        <f>+FinaIndicators!U21</f>
        <v/>
      </c>
      <c r="V23" s="3" t="str">
        <f>+FinaIndicators!V21</f>
        <v/>
      </c>
      <c r="W23" s="3" t="str">
        <f>+FinaIndicators!W21</f>
        <v/>
      </c>
      <c r="X23" s="3" t="str">
        <f>+FinaIndicators!X21</f>
        <v/>
      </c>
      <c r="Y23" s="3" t="str">
        <f>+FinaIndicators!Y21</f>
        <v/>
      </c>
    </row>
    <row r="24" spans="1:25" x14ac:dyDescent="0.25">
      <c r="A24" s="23" t="s">
        <v>143</v>
      </c>
      <c r="B24" s="23"/>
      <c r="C24" s="23"/>
      <c r="D24" s="23"/>
      <c r="F24" s="3">
        <f>IF(F23="",0,IF(F9&gt;UnosPodataka!$M$22,"",VLOOKUP(F9,Annuity!$B$13:$E$32,4,FALSE)+VLOOKUP(F9,Annuity!$B$13:$E$32,3,FALSE)))</f>
        <v>-712.30205199805096</v>
      </c>
      <c r="G24" s="3">
        <f>IF(G23="",0,IF(G9&gt;UnosPodataka!$M$22,"",VLOOKUP(G9,Annuity!$B$13:$E$32,4,FALSE)+VLOOKUP(G9,Annuity!$B$13:$E$32,3,FALSE)))</f>
        <v>-797.77829823781713</v>
      </c>
      <c r="H24" s="3">
        <f>IF(H23="",0,IF(H9&gt;UnosPodataka!$M$22,"",VLOOKUP(H9,Annuity!$B$13:$E$32,4,FALSE)+VLOOKUP(H9,Annuity!$B$13:$E$32,3,FALSE)))</f>
        <v>-893.51169402635514</v>
      </c>
      <c r="I24" s="3">
        <f>IF(I23="",0,IF(I9&gt;UnosPodataka!$M$22,"",VLOOKUP(I9,Annuity!$B$13:$E$32,4,FALSE)+VLOOKUP(I9,Annuity!$B$13:$E$32,3,FALSE)))</f>
        <v>-1000.7330973095179</v>
      </c>
      <c r="J24" s="3">
        <f>IF(J23="",0,IF(J9&gt;UnosPodataka!$M$22,"",VLOOKUP(J9,Annuity!$B$13:$E$32,4,FALSE)+VLOOKUP(J9,Annuity!$B$13:$E$32,3,FALSE)))</f>
        <v>-1120.8210689866601</v>
      </c>
      <c r="K24" s="3">
        <f>IF(K23="",0,IF(K9&gt;UnosPodataka!$M$22,"",VLOOKUP(K9,Annuity!$B$13:$E$32,4,FALSE)+VLOOKUP(K9,Annuity!$B$13:$E$32,3,FALSE)))</f>
        <v>-1255.3195972650592</v>
      </c>
      <c r="L24" s="3">
        <f>IF(L23="",0,IF(L9&gt;UnosPodataka!$M$22,"",VLOOKUP(L9,Annuity!$B$13:$E$32,4,FALSE)+VLOOKUP(L9,Annuity!$B$13:$E$32,3,FALSE)))</f>
        <v>-1405.9579489368662</v>
      </c>
      <c r="M24" s="3">
        <f>IF(M23="",0,IF(M9&gt;UnosPodataka!$M$22,"",VLOOKUP(M9,Annuity!$B$13:$E$32,4,FALSE)+VLOOKUP(M9,Annuity!$B$13:$E$32,3,FALSE)))</f>
        <v>-1574.6729028092902</v>
      </c>
      <c r="N24" s="3">
        <f>IF(N23="",0,IF(N9&gt;UnosPodataka!$M$22,"",VLOOKUP(N9,Annuity!$B$13:$E$32,4,FALSE)+VLOOKUP(N9,Annuity!$B$13:$E$32,3,FALSE)))</f>
        <v>-1763.6336511464051</v>
      </c>
      <c r="O24" s="3">
        <f>IF(O23="",0,IF(O9&gt;UnosPodataka!$M$22,"",VLOOKUP(O9,Annuity!$B$13:$E$32,4,FALSE)+VLOOKUP(O9,Annuity!$B$13:$E$32,3,FALSE)))</f>
        <v>-1975.2696892839735</v>
      </c>
      <c r="P24" s="3">
        <f>IF(P23="",0,IF(P9&gt;UnosPodataka!$M$22,"",VLOOKUP(P9,Annuity!$B$13:$E$32,4,FALSE)+VLOOKUP(P9,Annuity!$B$13:$E$32,3,FALSE)))</f>
        <v>0</v>
      </c>
      <c r="Q24" s="3">
        <f>IF(Q23="",0,IF(Q9&gt;UnosPodataka!$M$22,"",VLOOKUP(Q9,Annuity!$B$13:$E$32,4,FALSE)+VLOOKUP(Q9,Annuity!$B$13:$E$32,3,FALSE)))</f>
        <v>0</v>
      </c>
      <c r="R24" s="3">
        <f>IF(R23="",0,IF(R9&gt;UnosPodataka!$M$22,"",VLOOKUP(R9,Annuity!$B$13:$E$32,4,FALSE)+VLOOKUP(R9,Annuity!$B$13:$E$32,3,FALSE)))</f>
        <v>0</v>
      </c>
      <c r="S24" s="3">
        <f>IF(S23="",0,IF(S9&gt;UnosPodataka!$M$22,"",VLOOKUP(S9,Annuity!$B$13:$E$32,4,FALSE)+VLOOKUP(S9,Annuity!$B$13:$E$32,3,FALSE)))</f>
        <v>0</v>
      </c>
      <c r="T24" s="3">
        <f>IF(T23="",0,IF(T9&gt;UnosPodataka!$M$22,"",VLOOKUP(T9,Annuity!$B$13:$E$32,4,FALSE)+VLOOKUP(T9,Annuity!$B$13:$E$32,3,FALSE)))</f>
        <v>0</v>
      </c>
      <c r="U24" s="3">
        <f>IF(U23="",0,IF(U9&gt;UnosPodataka!$M$22,"",VLOOKUP(U9,Annuity!$B$13:$E$32,4,FALSE)+VLOOKUP(U9,Annuity!$B$13:$E$32,3,FALSE)))</f>
        <v>0</v>
      </c>
      <c r="V24" s="3">
        <f>IF(V23="",0,IF(V9&gt;UnosPodataka!$M$22,"",VLOOKUP(V9,Annuity!$B$13:$E$32,4,FALSE)+VLOOKUP(V9,Annuity!$B$13:$E$32,3,FALSE)))</f>
        <v>0</v>
      </c>
      <c r="W24" s="3">
        <f>IF(W23="",0,IF(W9&gt;UnosPodataka!$M$22,"",VLOOKUP(W9,Annuity!$B$13:$E$32,4,FALSE)+VLOOKUP(W9,Annuity!$B$13:$E$32,3,FALSE)))</f>
        <v>0</v>
      </c>
      <c r="X24" s="3">
        <f>IF(X23="",0,IF(X9&gt;UnosPodataka!$M$22,"",VLOOKUP(X9,Annuity!$B$13:$E$32,4,FALSE)+VLOOKUP(X9,Annuity!$B$13:$E$32,3,FALSE)))</f>
        <v>0</v>
      </c>
      <c r="Y24" s="3">
        <f>IF(Y23="",0,IF(Y9&gt;UnosPodataka!$M$22,"",VLOOKUP(Y9,Annuity!$B$13:$E$32,4,FALSE)+VLOOKUP(Y9,Annuity!$B$13:$E$32,3,FALSE)))</f>
        <v>0</v>
      </c>
    </row>
    <row r="25" spans="1:25" x14ac:dyDescent="0.25">
      <c r="A25" s="63" t="s">
        <v>144</v>
      </c>
      <c r="B25" s="63"/>
      <c r="C25" s="63"/>
      <c r="D25" s="63"/>
      <c r="F25" s="3">
        <f>IF(F9&lt;&gt;"",-UnosPodataka!$M$9,"")</f>
        <v>-100</v>
      </c>
      <c r="G25" s="3">
        <f>IF(G9&lt;&gt;"",-UnosPodataka!$M$9,"")</f>
        <v>-100</v>
      </c>
      <c r="H25" s="3">
        <f>IF(H9&lt;&gt;"",-UnosPodataka!$M$9,"")</f>
        <v>-100</v>
      </c>
      <c r="I25" s="3">
        <f>IF(I9&lt;&gt;"",-UnosPodataka!$M$9,"")</f>
        <v>-100</v>
      </c>
      <c r="J25" s="3">
        <f>IF(J9&lt;&gt;"",-UnosPodataka!$M$9,"")</f>
        <v>-100</v>
      </c>
      <c r="K25" s="3">
        <f>IF(K9&lt;&gt;"",-UnosPodataka!$M$9,"")</f>
        <v>-100</v>
      </c>
      <c r="L25" s="3">
        <f>IF(L9&lt;&gt;"",-UnosPodataka!$M$9,"")</f>
        <v>-100</v>
      </c>
      <c r="M25" s="3">
        <f>IF(M9&lt;&gt;"",-UnosPodataka!$M$9,"")</f>
        <v>-100</v>
      </c>
      <c r="N25" s="3">
        <f>IF(N9&lt;&gt;"",-UnosPodataka!$M$9,"")</f>
        <v>-100</v>
      </c>
      <c r="O25" s="3">
        <f>IF(O9&lt;&gt;"",-UnosPodataka!$M$9,"")</f>
        <v>-100</v>
      </c>
      <c r="P25" s="3">
        <f>IF(P9&lt;&gt;"",-UnosPodataka!$M$9,"")</f>
        <v>-100</v>
      </c>
      <c r="Q25" s="3">
        <f>IF(Q9&lt;&gt;"",-UnosPodataka!$M$9,"")</f>
        <v>-100</v>
      </c>
      <c r="R25" s="3">
        <f>IF(R9&lt;&gt;"",-UnosPodataka!$M$9,"")</f>
        <v>-100</v>
      </c>
      <c r="S25" s="3">
        <f>IF(S9&lt;&gt;"",-UnosPodataka!$M$9,"")</f>
        <v>-100</v>
      </c>
      <c r="T25" s="3">
        <f>IF(T9&lt;&gt;"",-UnosPodataka!$M$9,"")</f>
        <v>-100</v>
      </c>
      <c r="U25" s="3">
        <f>IF(U9&lt;&gt;"",-UnosPodataka!$M$9,"")</f>
        <v>-100</v>
      </c>
      <c r="V25" s="3">
        <f>IF(V9&lt;&gt;"",-UnosPodataka!$M$9,"")</f>
        <v>-100</v>
      </c>
      <c r="W25" s="3">
        <f>IF(W9&lt;&gt;"",-UnosPodataka!$M$9,"")</f>
        <v>-100</v>
      </c>
      <c r="X25" s="3">
        <f>IF(X9&lt;&gt;"",-UnosPodataka!$M$9,"")</f>
        <v>-100</v>
      </c>
      <c r="Y25" s="3">
        <f>IF(Y9&lt;&gt;"",-UnosPodataka!$M$9,"")</f>
        <v>-100</v>
      </c>
    </row>
    <row r="26" spans="1:25" x14ac:dyDescent="0.25">
      <c r="A26" s="63" t="s">
        <v>145</v>
      </c>
      <c r="B26" s="63"/>
      <c r="C26" s="63"/>
      <c r="D26" s="63"/>
      <c r="F26" s="3">
        <f>IF(F9&lt;&gt;"",-Investment*UnosPodataka!$M$11,"")</f>
        <v>-225</v>
      </c>
      <c r="G26" s="3">
        <f>IF(G9&lt;&gt;"",-Investment*UnosPodataka!$M$11,"")</f>
        <v>-225</v>
      </c>
      <c r="H26" s="3">
        <f>IF(H9&lt;&gt;"",-Investment*UnosPodataka!$M$11,"")</f>
        <v>-225</v>
      </c>
      <c r="I26" s="3">
        <f>IF(I9&lt;&gt;"",-Investment*UnosPodataka!$M$11,"")</f>
        <v>-225</v>
      </c>
      <c r="J26" s="3">
        <f>IF(J9&lt;&gt;"",-Investment*UnosPodataka!$M$11,"")</f>
        <v>-225</v>
      </c>
      <c r="K26" s="3">
        <f>IF(K9&lt;&gt;"",-Investment*UnosPodataka!$M$11,"")</f>
        <v>-225</v>
      </c>
      <c r="L26" s="3">
        <f>IF(L9&lt;&gt;"",-Investment*UnosPodataka!$M$11,"")</f>
        <v>-225</v>
      </c>
      <c r="M26" s="3">
        <f>IF(M9&lt;&gt;"",-Investment*UnosPodataka!$M$11,"")</f>
        <v>-225</v>
      </c>
      <c r="N26" s="3">
        <f>IF(N9&lt;&gt;"",-Investment*UnosPodataka!$M$11,"")</f>
        <v>-225</v>
      </c>
      <c r="O26" s="3">
        <f>IF(O9&lt;&gt;"",-Investment*UnosPodataka!$M$11,"")</f>
        <v>-225</v>
      </c>
      <c r="P26" s="3">
        <f>IF(P9&lt;&gt;"",-Investment*UnosPodataka!$M$11,"")</f>
        <v>-225</v>
      </c>
      <c r="Q26" s="3">
        <f>IF(Q9&lt;&gt;"",-Investment*UnosPodataka!$M$11,"")</f>
        <v>-225</v>
      </c>
      <c r="R26" s="3">
        <f>IF(R9&lt;&gt;"",-Investment*UnosPodataka!$M$11,"")</f>
        <v>-225</v>
      </c>
      <c r="S26" s="3">
        <f>IF(S9&lt;&gt;"",-Investment*UnosPodataka!$M$11,"")</f>
        <v>-225</v>
      </c>
      <c r="T26" s="3">
        <f>IF(T9&lt;&gt;"",-Investment*UnosPodataka!$M$11,"")</f>
        <v>-225</v>
      </c>
      <c r="U26" s="3">
        <f>IF(U9&lt;&gt;"",-Investment*UnosPodataka!$M$11,"")</f>
        <v>-225</v>
      </c>
      <c r="V26" s="3">
        <f>IF(V9&lt;&gt;"",-Investment*UnosPodataka!$M$11,"")</f>
        <v>-225</v>
      </c>
      <c r="W26" s="3">
        <f>IF(W9&lt;&gt;"",-Investment*UnosPodataka!$M$11,"")</f>
        <v>-225</v>
      </c>
      <c r="X26" s="3">
        <f>IF(X9&lt;&gt;"",-Investment*UnosPodataka!$M$11,"")</f>
        <v>-225</v>
      </c>
      <c r="Y26" s="3">
        <f>IF(Y9&lt;&gt;"",-Investment*UnosPodataka!$M$11,"")</f>
        <v>-225</v>
      </c>
    </row>
    <row r="27" spans="1:25" x14ac:dyDescent="0.25">
      <c r="A27" s="63" t="s">
        <v>109</v>
      </c>
      <c r="B27" s="63"/>
      <c r="C27" s="63"/>
      <c r="D27" s="63"/>
      <c r="F27" s="3">
        <f>-F14*EnergyCosts!$J$11/Kurs_EUR</f>
        <v>-463.86672123320375</v>
      </c>
      <c r="G27" s="3">
        <f>-G14*EnergyCosts!$J$11/Kurs_EUR</f>
        <v>-459.22805402087175</v>
      </c>
      <c r="H27" s="3">
        <f>-H14*EnergyCosts!$J$11/Kurs_EUR</f>
        <v>-454.63577348066298</v>
      </c>
      <c r="I27" s="3">
        <f>-I14*EnergyCosts!$J$11/Kurs_EUR</f>
        <v>-450.08941574585634</v>
      </c>
      <c r="J27" s="3">
        <f>-J14*EnergyCosts!$J$11/Kurs_EUR</f>
        <v>-445.58852158839773</v>
      </c>
      <c r="K27" s="3">
        <f>-K14*EnergyCosts!$J$11/Kurs_EUR</f>
        <v>-441.13263637251379</v>
      </c>
      <c r="L27" s="3">
        <f>-L14*EnergyCosts!$J$11/Kurs_EUR</f>
        <v>-436.72131000878863</v>
      </c>
      <c r="M27" s="3">
        <f>-M14*EnergyCosts!$J$11/Kurs_EUR</f>
        <v>-432.35409690870074</v>
      </c>
      <c r="N27" s="3">
        <f>-N14*EnergyCosts!$J$11/Kurs_EUR</f>
        <v>-428.03055593961363</v>
      </c>
      <c r="O27" s="3">
        <f>-O14*EnergyCosts!$J$11/Kurs_EUR</f>
        <v>-423.75025038021761</v>
      </c>
      <c r="P27" s="3">
        <f>-P14*EnergyCosts!$J$11/Kurs_EUR</f>
        <v>-419.5127478764154</v>
      </c>
      <c r="Q27" s="3">
        <f>-Q14*EnergyCosts!$J$11/Kurs_EUR</f>
        <v>-415.31762039765124</v>
      </c>
      <c r="R27" s="3">
        <f>-R14*EnergyCosts!$J$11/Kurs_EUR</f>
        <v>-411.16444419367474</v>
      </c>
      <c r="S27" s="3">
        <f>-S14*EnergyCosts!$J$11/Kurs_EUR</f>
        <v>-407.05279975173795</v>
      </c>
      <c r="T27" s="3">
        <f>-T14*EnergyCosts!$J$11/Kurs_EUR</f>
        <v>-402.98227175422056</v>
      </c>
      <c r="U27" s="3">
        <f>-U14*EnergyCosts!$J$11/Kurs_EUR</f>
        <v>-398.95244903667833</v>
      </c>
      <c r="V27" s="3">
        <f>-V14*EnergyCosts!$J$11/Kurs_EUR</f>
        <v>-394.96292454631157</v>
      </c>
      <c r="W27" s="3">
        <f>-W14*EnergyCosts!$J$11/Kurs_EUR</f>
        <v>-391.01329530084843</v>
      </c>
      <c r="X27" s="3">
        <f>-X14*EnergyCosts!$J$11/Kurs_EUR</f>
        <v>-387.10316234783994</v>
      </c>
      <c r="Y27" s="3">
        <f>-Y14*EnergyCosts!$J$11/Kurs_EUR</f>
        <v>-383.23213072436158</v>
      </c>
    </row>
    <row r="28" spans="1:25" x14ac:dyDescent="0.25">
      <c r="A28" s="63" t="s">
        <v>110</v>
      </c>
      <c r="B28" s="63"/>
      <c r="C28" s="63"/>
      <c r="D28" s="63"/>
      <c r="F28" s="3">
        <f>-EnergyCosts!$J$12*EnergyCosts!$J$14/Kurs_EUR</f>
        <v>-29.607461973944478</v>
      </c>
      <c r="G28" s="3">
        <f>-EnergyCosts!$J$12*EnergyCosts!$J$14/Kurs_EUR</f>
        <v>-29.607461973944478</v>
      </c>
      <c r="H28" s="3">
        <f>-EnergyCosts!$J$12*EnergyCosts!$J$14/Kurs_EUR</f>
        <v>-29.607461973944478</v>
      </c>
      <c r="I28" s="3">
        <f>-EnergyCosts!$J$12*EnergyCosts!$J$14/Kurs_EUR</f>
        <v>-29.607461973944478</v>
      </c>
      <c r="J28" s="3">
        <f>-EnergyCosts!$J$12*EnergyCosts!$J$14/Kurs_EUR</f>
        <v>-29.607461973944478</v>
      </c>
      <c r="K28" s="3">
        <f>-EnergyCosts!$J$12*EnergyCosts!$J$14/Kurs_EUR</f>
        <v>-29.607461973944478</v>
      </c>
      <c r="L28" s="3">
        <f>-EnergyCosts!$J$12*EnergyCosts!$J$14/Kurs_EUR</f>
        <v>-29.607461973944478</v>
      </c>
      <c r="M28" s="3">
        <f>-EnergyCosts!$J$12*EnergyCosts!$J$14/Kurs_EUR</f>
        <v>-29.607461973944478</v>
      </c>
      <c r="N28" s="3">
        <f>-EnergyCosts!$J$12*EnergyCosts!$J$14/Kurs_EUR</f>
        <v>-29.607461973944478</v>
      </c>
      <c r="O28" s="3">
        <f>-EnergyCosts!$J$12*EnergyCosts!$J$14/Kurs_EUR</f>
        <v>-29.607461973944478</v>
      </c>
      <c r="P28" s="3">
        <f>-EnergyCosts!$J$12*EnergyCosts!$J$14/Kurs_EUR</f>
        <v>-29.607461973944478</v>
      </c>
      <c r="Q28" s="3">
        <f>-EnergyCosts!$J$12*EnergyCosts!$J$14/Kurs_EUR</f>
        <v>-29.607461973944478</v>
      </c>
      <c r="R28" s="3">
        <f>-EnergyCosts!$J$12*EnergyCosts!$J$14/Kurs_EUR</f>
        <v>-29.607461973944478</v>
      </c>
      <c r="S28" s="3">
        <f>-EnergyCosts!$J$12*EnergyCosts!$J$14/Kurs_EUR</f>
        <v>-29.607461973944478</v>
      </c>
      <c r="T28" s="3">
        <f>-EnergyCosts!$J$12*EnergyCosts!$J$14/Kurs_EUR</f>
        <v>-29.607461973944478</v>
      </c>
      <c r="U28" s="3">
        <f>-EnergyCosts!$J$12*EnergyCosts!$J$14/Kurs_EUR</f>
        <v>-29.607461973944478</v>
      </c>
      <c r="V28" s="3">
        <f>-EnergyCosts!$J$12*EnergyCosts!$J$14/Kurs_EUR</f>
        <v>-29.607461973944478</v>
      </c>
      <c r="W28" s="3">
        <f>-EnergyCosts!$J$12*EnergyCosts!$J$14/Kurs_EUR</f>
        <v>-29.607461973944478</v>
      </c>
      <c r="X28" s="3">
        <f>-EnergyCosts!$J$12*EnergyCosts!$J$14/Kurs_EUR</f>
        <v>-29.607461973944478</v>
      </c>
      <c r="Y28" s="3">
        <f>-EnergyCosts!$J$12*EnergyCosts!$J$14/Kurs_EUR</f>
        <v>-29.607461973944478</v>
      </c>
    </row>
    <row r="29" spans="1:25" x14ac:dyDescent="0.25">
      <c r="A29" s="63" t="s">
        <v>111</v>
      </c>
      <c r="B29" s="63"/>
      <c r="C29" s="63"/>
      <c r="D29" s="63"/>
      <c r="F29" s="3">
        <f>(-F18+F27+F28)*EnergyCosts!$J$15</f>
        <v>-206.95122263147124</v>
      </c>
      <c r="G29" s="3">
        <f>(-G18+G27+G28)*EnergyCosts!$J$15</f>
        <v>-204.90391600163699</v>
      </c>
      <c r="H29" s="3">
        <f>(-H18+H27+H28)*EnergyCosts!$J$15</f>
        <v>-202.8770824381011</v>
      </c>
      <c r="I29" s="3">
        <f>(-I18+I27+I28)*EnergyCosts!$J$15</f>
        <v>-200.87051721020052</v>
      </c>
      <c r="J29" s="3">
        <f>(-J18+J27+J28)*EnergyCosts!$J$15</f>
        <v>-198.88401763457895</v>
      </c>
      <c r="K29" s="3">
        <f>(-K18+K27+K28)*EnergyCosts!$J$15</f>
        <v>-196.91738305471361</v>
      </c>
      <c r="L29" s="3">
        <f>(-L18+L27+L28)*EnergyCosts!$J$15</f>
        <v>-194.97041482064694</v>
      </c>
      <c r="M29" s="3">
        <f>(-M18+M27+M28)*EnergyCosts!$J$15</f>
        <v>-193.04291626892095</v>
      </c>
      <c r="N29" s="3">
        <f>(-N18+N27+N28)*EnergyCosts!$J$15</f>
        <v>-191.13469270271216</v>
      </c>
      <c r="O29" s="3">
        <f>(-O18+O27+O28)*EnergyCosts!$J$15</f>
        <v>-189.24555137216549</v>
      </c>
      <c r="P29" s="3">
        <f>(-P18+P27+P28)*EnergyCosts!$J$15</f>
        <v>-187.37530145492431</v>
      </c>
      <c r="Q29" s="3">
        <f>(-Q18+Q27+Q28)*EnergyCosts!$J$15</f>
        <v>-185.52375403685551</v>
      </c>
      <c r="R29" s="3">
        <f>(-R18+R27+R28)*EnergyCosts!$J$15</f>
        <v>-183.69072209296743</v>
      </c>
      <c r="S29" s="3">
        <f>(-S18+S27+S28)*EnergyCosts!$J$15</f>
        <v>-181.87602046851819</v>
      </c>
      <c r="T29" s="3">
        <f>(-T18+T27+T28)*EnergyCosts!$J$15</f>
        <v>-180.07946586031346</v>
      </c>
      <c r="U29" s="3">
        <f>(-U18+U27+U28)*EnergyCosts!$J$15</f>
        <v>-178.30087679819079</v>
      </c>
      <c r="V29" s="3">
        <f>(-V18+V27+V28)*EnergyCosts!$J$15</f>
        <v>-176.54007362668935</v>
      </c>
      <c r="W29" s="3">
        <f>(-W18+W27+W28)*EnergyCosts!$J$15</f>
        <v>-174.7968784869029</v>
      </c>
      <c r="X29" s="3">
        <f>(-X18+X27+X28)*EnergyCosts!$J$15</f>
        <v>-173.07111529851431</v>
      </c>
      <c r="Y29" s="3">
        <f>(-Y18+Y27+Y28)*EnergyCosts!$J$15</f>
        <v>-171.36260974200962</v>
      </c>
    </row>
    <row r="30" spans="1:25" x14ac:dyDescent="0.25">
      <c r="A30" s="63" t="s">
        <v>146</v>
      </c>
      <c r="B30" s="63"/>
      <c r="C30" s="63"/>
      <c r="D30" s="63"/>
      <c r="F30" s="3">
        <f>+FinaIndicators!F28</f>
        <v>-2250</v>
      </c>
      <c r="G30" s="3">
        <f>+FinaIndicators!G28</f>
        <v>-2250</v>
      </c>
      <c r="H30" s="3">
        <f>+FinaIndicators!H28</f>
        <v>-2250</v>
      </c>
      <c r="I30" s="3">
        <f>+FinaIndicators!I28</f>
        <v>-2250</v>
      </c>
      <c r="J30" s="3">
        <f>+FinaIndicators!J28</f>
        <v>-2250</v>
      </c>
      <c r="K30" s="3">
        <f>+FinaIndicators!K28</f>
        <v>-2250</v>
      </c>
      <c r="L30" s="3">
        <f>+FinaIndicators!L28</f>
        <v>-2250</v>
      </c>
      <c r="M30" s="3">
        <f>+FinaIndicators!M28</f>
        <v>-2250</v>
      </c>
      <c r="N30" s="3">
        <f>+FinaIndicators!N28</f>
        <v>-2250</v>
      </c>
      <c r="O30" s="3">
        <f>+FinaIndicators!O28</f>
        <v>-2250</v>
      </c>
      <c r="P30" s="3">
        <f>+FinaIndicators!P28</f>
        <v>-2250</v>
      </c>
      <c r="Q30" s="3">
        <f>+FinaIndicators!Q28</f>
        <v>-2250</v>
      </c>
      <c r="R30" s="3">
        <f>+FinaIndicators!R28</f>
        <v>-2250</v>
      </c>
      <c r="S30" s="3">
        <f>+FinaIndicators!S28</f>
        <v>-2250</v>
      </c>
      <c r="T30" s="3">
        <f>+FinaIndicators!T28</f>
        <v>-2250</v>
      </c>
      <c r="U30" s="3">
        <f>+FinaIndicators!U28</f>
        <v>-2250</v>
      </c>
      <c r="V30" s="3">
        <f>+FinaIndicators!V28</f>
        <v>-2250</v>
      </c>
      <c r="W30" s="3">
        <f>+FinaIndicators!W28</f>
        <v>-2250</v>
      </c>
      <c r="X30" s="3">
        <f>+FinaIndicators!X28</f>
        <v>-2250</v>
      </c>
      <c r="Y30" s="3">
        <f>+FinaIndicators!Y28</f>
        <v>-2250</v>
      </c>
    </row>
    <row r="31" spans="1:25" x14ac:dyDescent="0.25">
      <c r="A31" s="63" t="s">
        <v>174</v>
      </c>
      <c r="B31" s="63"/>
      <c r="C31" s="63"/>
      <c r="D31" s="63"/>
      <c r="F31" s="3">
        <f>IF(F9&lt;&gt;"",-(1-UnosPodataka!$M$10)*'FinInd+CO2'!F18,"")</f>
        <v>0</v>
      </c>
      <c r="G31" s="3">
        <f>IF(G9&lt;&gt;"",-(1-UnosPodataka!$M$10)*'FinInd+CO2'!G18,"")</f>
        <v>0</v>
      </c>
      <c r="H31" s="3">
        <f>IF(H9&lt;&gt;"",-(1-UnosPodataka!$M$10)*'FinInd+CO2'!H18,"")</f>
        <v>0</v>
      </c>
      <c r="I31" s="3">
        <f>IF(I9&lt;&gt;"",-(1-UnosPodataka!$M$10)*'FinInd+CO2'!I18,"")</f>
        <v>0</v>
      </c>
      <c r="J31" s="3">
        <f>IF(J9&lt;&gt;"",-(1-UnosPodataka!$M$10)*'FinInd+CO2'!J18,"")</f>
        <v>0</v>
      </c>
      <c r="K31" s="3">
        <f>IF(K9&lt;&gt;"",-(1-UnosPodataka!$M$10)*'FinInd+CO2'!K18,"")</f>
        <v>0</v>
      </c>
      <c r="L31" s="3">
        <f>IF(L9&lt;&gt;"",-(1-UnosPodataka!$M$10)*'FinInd+CO2'!L18,"")</f>
        <v>0</v>
      </c>
      <c r="M31" s="3">
        <f>IF(M9&lt;&gt;"",-(1-UnosPodataka!$M$10)*'FinInd+CO2'!M18,"")</f>
        <v>0</v>
      </c>
      <c r="N31" s="3">
        <f>IF(N9&lt;&gt;"",-(1-UnosPodataka!$M$10)*'FinInd+CO2'!N18,"")</f>
        <v>0</v>
      </c>
      <c r="O31" s="3">
        <f>IF(O9&lt;&gt;"",-(1-UnosPodataka!$M$10)*'FinInd+CO2'!O18,"")</f>
        <v>0</v>
      </c>
      <c r="P31" s="3">
        <f>IF(P9&lt;&gt;"",-(1-UnosPodataka!$M$10)*'FinInd+CO2'!P18,"")</f>
        <v>0</v>
      </c>
      <c r="Q31" s="3">
        <f>IF(Q9&lt;&gt;"",-(1-UnosPodataka!$M$10)*'FinInd+CO2'!Q18,"")</f>
        <v>0</v>
      </c>
      <c r="R31" s="3">
        <f>IF(R9&lt;&gt;"",-(1-UnosPodataka!$M$10)*'FinInd+CO2'!R18,"")</f>
        <v>0</v>
      </c>
      <c r="S31" s="3">
        <f>IF(S9&lt;&gt;"",-(1-UnosPodataka!$M$10)*'FinInd+CO2'!S18,"")</f>
        <v>0</v>
      </c>
      <c r="T31" s="3">
        <f>IF(T9&lt;&gt;"",-(1-UnosPodataka!$M$10)*'FinInd+CO2'!T18,"")</f>
        <v>0</v>
      </c>
      <c r="U31" s="3">
        <f>IF(U9&lt;&gt;"",-(1-UnosPodataka!$M$10)*'FinInd+CO2'!U18,"")</f>
        <v>0</v>
      </c>
      <c r="V31" s="3">
        <f>IF(V9&lt;&gt;"",-(1-UnosPodataka!$M$10)*'FinInd+CO2'!V18,"")</f>
        <v>0</v>
      </c>
      <c r="W31" s="3">
        <f>IF(W9&lt;&gt;"",-(1-UnosPodataka!$M$10)*'FinInd+CO2'!W18,"")</f>
        <v>0</v>
      </c>
      <c r="X31" s="3">
        <f>IF(X9&lt;&gt;"",-(1-UnosPodataka!$M$10)*'FinInd+CO2'!X18,"")</f>
        <v>0</v>
      </c>
      <c r="Y31" s="3">
        <f>IF(Y9&lt;&gt;"",-(1-UnosPodataka!$M$10)*'FinInd+CO2'!Y18,"")</f>
        <v>0</v>
      </c>
    </row>
    <row r="32" spans="1:25" x14ac:dyDescent="0.25">
      <c r="A32" s="69" t="s">
        <v>175</v>
      </c>
      <c r="B32" s="69"/>
      <c r="C32" s="69"/>
      <c r="D32" s="69"/>
      <c r="E32" s="28"/>
      <c r="F32" s="29">
        <f>IF(F9&lt;&gt;"",SUM(F23:F31),"")</f>
        <v>-5487.7274578366705</v>
      </c>
      <c r="G32" s="29">
        <f t="shared" ref="G32:Y32" si="4">IF(G9&lt;&gt;"",SUM(G23:G31),"")</f>
        <v>-5481.0414839945042</v>
      </c>
      <c r="H32" s="29">
        <f t="shared" si="4"/>
        <v>-5474.422369890759</v>
      </c>
      <c r="I32" s="29">
        <f t="shared" si="4"/>
        <v>-5467.8694469280526</v>
      </c>
      <c r="J32" s="29">
        <f t="shared" si="4"/>
        <v>-5461.3820531949714</v>
      </c>
      <c r="K32" s="29">
        <f t="shared" si="4"/>
        <v>-5454.9595333992229</v>
      </c>
      <c r="L32" s="29">
        <f t="shared" si="4"/>
        <v>-5448.6012388014315</v>
      </c>
      <c r="M32" s="29">
        <f t="shared" si="4"/>
        <v>-5442.3065271496171</v>
      </c>
      <c r="N32" s="29">
        <f t="shared" si="4"/>
        <v>-5436.0747626143211</v>
      </c>
      <c r="O32" s="29">
        <f t="shared" si="4"/>
        <v>-5429.9053157243779</v>
      </c>
      <c r="P32" s="29">
        <f t="shared" si="4"/>
        <v>-3211.4955113052843</v>
      </c>
      <c r="Q32" s="29">
        <f t="shared" si="4"/>
        <v>-3205.4488364084514</v>
      </c>
      <c r="R32" s="29">
        <f t="shared" si="4"/>
        <v>-3199.4626282605868</v>
      </c>
      <c r="S32" s="29">
        <f t="shared" si="4"/>
        <v>-3193.5362821942008</v>
      </c>
      <c r="T32" s="29">
        <f t="shared" si="4"/>
        <v>-3187.6691995884785</v>
      </c>
      <c r="U32" s="29">
        <f t="shared" si="4"/>
        <v>-3181.8607878088137</v>
      </c>
      <c r="V32" s="29">
        <f t="shared" si="4"/>
        <v>-3176.1104601469456</v>
      </c>
      <c r="W32" s="29">
        <f t="shared" si="4"/>
        <v>-3170.4176357616957</v>
      </c>
      <c r="X32" s="29">
        <f t="shared" si="4"/>
        <v>-3164.781739620299</v>
      </c>
      <c r="Y32" s="29">
        <f t="shared" si="4"/>
        <v>-3159.2022024403159</v>
      </c>
    </row>
    <row r="34" spans="1:25" x14ac:dyDescent="0.25">
      <c r="A34" t="s">
        <v>148</v>
      </c>
      <c r="E34" s="3">
        <f>-SUM(E11:E13)</f>
        <v>-22500</v>
      </c>
      <c r="F34" s="3">
        <f>+F32-F30-F37</f>
        <v>-3237.7274578366705</v>
      </c>
      <c r="G34" s="3">
        <f t="shared" ref="G34:Y34" si="5">+G32-G30-G37</f>
        <v>-3231.0414839945042</v>
      </c>
      <c r="H34" s="3">
        <f t="shared" si="5"/>
        <v>-3224.422369890759</v>
      </c>
      <c r="I34" s="3">
        <f t="shared" si="5"/>
        <v>-3217.8694469280526</v>
      </c>
      <c r="J34" s="3">
        <f t="shared" si="5"/>
        <v>-3211.3820531949714</v>
      </c>
      <c r="K34" s="3">
        <f t="shared" si="5"/>
        <v>-3204.9595333992229</v>
      </c>
      <c r="L34" s="3">
        <f t="shared" si="5"/>
        <v>-3198.6012388014315</v>
      </c>
      <c r="M34" s="3">
        <f t="shared" si="5"/>
        <v>-3192.3065271496171</v>
      </c>
      <c r="N34" s="3">
        <f t="shared" si="5"/>
        <v>-3186.0747626143211</v>
      </c>
      <c r="O34" s="3">
        <f t="shared" si="5"/>
        <v>-3179.9053157243779</v>
      </c>
      <c r="P34" s="3">
        <f t="shared" si="5"/>
        <v>-961.49551130528425</v>
      </c>
      <c r="Q34" s="3">
        <f t="shared" si="5"/>
        <v>-955.44883640845137</v>
      </c>
      <c r="R34" s="3">
        <f t="shared" si="5"/>
        <v>-949.46262826058683</v>
      </c>
      <c r="S34" s="3">
        <f t="shared" si="5"/>
        <v>-943.53628219420079</v>
      </c>
      <c r="T34" s="3">
        <f t="shared" si="5"/>
        <v>-937.66919958847848</v>
      </c>
      <c r="U34" s="3">
        <f t="shared" si="5"/>
        <v>-931.86078780881371</v>
      </c>
      <c r="V34" s="3">
        <f t="shared" si="5"/>
        <v>-926.11046014694557</v>
      </c>
      <c r="W34" s="3">
        <f t="shared" si="5"/>
        <v>-920.41763576169569</v>
      </c>
      <c r="X34" s="3">
        <f t="shared" si="5"/>
        <v>-914.78173962029905</v>
      </c>
      <c r="Y34" s="3">
        <f t="shared" si="5"/>
        <v>-909.20220244031589</v>
      </c>
    </row>
    <row r="35" spans="1:25" x14ac:dyDescent="0.25">
      <c r="A35" s="55" t="s">
        <v>149</v>
      </c>
      <c r="B35" s="55"/>
      <c r="C35" s="55"/>
      <c r="D35" s="55"/>
      <c r="F35" s="3">
        <f>IF(F9&lt;&gt;"",F20+F32-F24,"")</f>
        <v>-2134.7632339594843</v>
      </c>
      <c r="G35" s="3">
        <f t="shared" ref="G35:Y35" si="6">IF(G9&lt;&gt;"",G20+G32-G24,"")</f>
        <v>-2069.0076355963433</v>
      </c>
      <c r="H35" s="3">
        <f t="shared" si="6"/>
        <v>-1992.7976812056631</v>
      </c>
      <c r="I35" s="3">
        <f t="shared" si="6"/>
        <v>-1904.9044849063819</v>
      </c>
      <c r="J35" s="3">
        <f t="shared" si="6"/>
        <v>-1803.95143814328</v>
      </c>
      <c r="K35" s="3">
        <f t="shared" si="6"/>
        <v>-1688.3964855297827</v>
      </c>
      <c r="L35" s="3">
        <f t="shared" si="6"/>
        <v>-1556.5122737662282</v>
      </c>
      <c r="M35" s="3">
        <f t="shared" si="6"/>
        <v>-1406.3639184029728</v>
      </c>
      <c r="N35" s="3">
        <f t="shared" si="6"/>
        <v>-1235.7841025899361</v>
      </c>
      <c r="O35" s="3">
        <f t="shared" si="6"/>
        <v>-1042.345187651204</v>
      </c>
      <c r="P35" s="3">
        <f t="shared" si="6"/>
        <v>-823.32797690397592</v>
      </c>
      <c r="Q35" s="3">
        <f t="shared" si="6"/>
        <v>-841.16297735115677</v>
      </c>
      <c r="R35" s="3">
        <f t="shared" si="6"/>
        <v>-858.81962779386413</v>
      </c>
      <c r="S35" s="3">
        <f t="shared" si="6"/>
        <v>-876.29971173214653</v>
      </c>
      <c r="T35" s="3">
        <f t="shared" si="6"/>
        <v>-893.60499483104422</v>
      </c>
      <c r="U35" s="3">
        <f t="shared" si="6"/>
        <v>-910.73722509895424</v>
      </c>
      <c r="V35" s="3">
        <f t="shared" si="6"/>
        <v>-927.69813306418428</v>
      </c>
      <c r="W35" s="3">
        <f t="shared" si="6"/>
        <v>-944.48943194976209</v>
      </c>
      <c r="X35" s="3">
        <f t="shared" si="6"/>
        <v>-961.11281784648509</v>
      </c>
      <c r="Y35" s="3">
        <f t="shared" si="6"/>
        <v>-977.56996988423998</v>
      </c>
    </row>
    <row r="36" spans="1:25" x14ac:dyDescent="0.25">
      <c r="A36" s="70"/>
      <c r="B36" s="70"/>
      <c r="C36" s="70"/>
      <c r="D36" s="70"/>
    </row>
    <row r="37" spans="1:25" x14ac:dyDescent="0.25">
      <c r="A37" s="63" t="s">
        <v>150</v>
      </c>
      <c r="B37" s="63"/>
      <c r="C37" s="63"/>
      <c r="D37" s="63"/>
      <c r="F37" s="3">
        <f>IF(F9&lt;&gt;"",IF(F35&gt;0,F35*VAT,0),"")</f>
        <v>0</v>
      </c>
      <c r="G37" s="3">
        <f t="shared" ref="G37:Y37" si="7">IF(G9&lt;&gt;"",IF(G35&gt;0,G35*VAT,0),"")</f>
        <v>0</v>
      </c>
      <c r="H37" s="3">
        <f t="shared" si="7"/>
        <v>0</v>
      </c>
      <c r="I37" s="3">
        <f t="shared" si="7"/>
        <v>0</v>
      </c>
      <c r="J37" s="3">
        <f t="shared" si="7"/>
        <v>0</v>
      </c>
      <c r="K37" s="3">
        <f t="shared" si="7"/>
        <v>0</v>
      </c>
      <c r="L37" s="3">
        <f t="shared" si="7"/>
        <v>0</v>
      </c>
      <c r="M37" s="3">
        <f t="shared" si="7"/>
        <v>0</v>
      </c>
      <c r="N37" s="3">
        <f t="shared" si="7"/>
        <v>0</v>
      </c>
      <c r="O37" s="3">
        <f t="shared" si="7"/>
        <v>0</v>
      </c>
      <c r="P37" s="3">
        <f t="shared" si="7"/>
        <v>0</v>
      </c>
      <c r="Q37" s="3">
        <f t="shared" si="7"/>
        <v>0</v>
      </c>
      <c r="R37" s="3">
        <f t="shared" si="7"/>
        <v>0</v>
      </c>
      <c r="S37" s="3">
        <f t="shared" si="7"/>
        <v>0</v>
      </c>
      <c r="T37" s="3">
        <f t="shared" si="7"/>
        <v>0</v>
      </c>
      <c r="U37" s="3">
        <f t="shared" si="7"/>
        <v>0</v>
      </c>
      <c r="V37" s="3">
        <f t="shared" si="7"/>
        <v>0</v>
      </c>
      <c r="W37" s="3">
        <f t="shared" si="7"/>
        <v>0</v>
      </c>
      <c r="X37" s="3">
        <f t="shared" si="7"/>
        <v>0</v>
      </c>
      <c r="Y37" s="3">
        <f t="shared" si="7"/>
        <v>0</v>
      </c>
    </row>
    <row r="38" spans="1:25" x14ac:dyDescent="0.25">
      <c r="A38" s="55" t="s">
        <v>151</v>
      </c>
      <c r="B38" s="55"/>
      <c r="C38" s="55"/>
      <c r="D38" s="55"/>
      <c r="E38" s="3"/>
      <c r="F38" s="3">
        <f>IF(F9&lt;&gt;"",F35-F37,"")</f>
        <v>-2134.7632339594843</v>
      </c>
      <c r="G38" s="3">
        <f t="shared" ref="G38:Y38" si="8">IF(G9&lt;&gt;"",G35-G37,"")</f>
        <v>-2069.0076355963433</v>
      </c>
      <c r="H38" s="3">
        <f t="shared" si="8"/>
        <v>-1992.7976812056631</v>
      </c>
      <c r="I38" s="3">
        <f t="shared" si="8"/>
        <v>-1904.9044849063819</v>
      </c>
      <c r="J38" s="3">
        <f t="shared" si="8"/>
        <v>-1803.95143814328</v>
      </c>
      <c r="K38" s="3">
        <f t="shared" si="8"/>
        <v>-1688.3964855297827</v>
      </c>
      <c r="L38" s="3">
        <f t="shared" si="8"/>
        <v>-1556.5122737662282</v>
      </c>
      <c r="M38" s="3">
        <f t="shared" si="8"/>
        <v>-1406.3639184029728</v>
      </c>
      <c r="N38" s="3">
        <f t="shared" si="8"/>
        <v>-1235.7841025899361</v>
      </c>
      <c r="O38" s="3">
        <f t="shared" si="8"/>
        <v>-1042.345187651204</v>
      </c>
      <c r="P38" s="3">
        <f t="shared" si="8"/>
        <v>-823.32797690397592</v>
      </c>
      <c r="Q38" s="3">
        <f t="shared" si="8"/>
        <v>-841.16297735115677</v>
      </c>
      <c r="R38" s="3">
        <f t="shared" si="8"/>
        <v>-858.81962779386413</v>
      </c>
      <c r="S38" s="3">
        <f t="shared" si="8"/>
        <v>-876.29971173214653</v>
      </c>
      <c r="T38" s="3">
        <f t="shared" si="8"/>
        <v>-893.60499483104422</v>
      </c>
      <c r="U38" s="3">
        <f t="shared" si="8"/>
        <v>-910.73722509895424</v>
      </c>
      <c r="V38" s="3">
        <f t="shared" si="8"/>
        <v>-927.69813306418428</v>
      </c>
      <c r="W38" s="3">
        <f t="shared" si="8"/>
        <v>-944.48943194976209</v>
      </c>
      <c r="X38" s="3">
        <f t="shared" si="8"/>
        <v>-961.11281784648509</v>
      </c>
      <c r="Y38" s="3">
        <f t="shared" si="8"/>
        <v>-977.56996988423998</v>
      </c>
    </row>
    <row r="40" spans="1:25" x14ac:dyDescent="0.25">
      <c r="A40" s="31" t="s">
        <v>161</v>
      </c>
      <c r="E40" s="3">
        <f>-SUM(E11:E13)</f>
        <v>-22500</v>
      </c>
      <c r="F40" s="3">
        <f>+F20+F34-F37</f>
        <v>-597.06528595753525</v>
      </c>
      <c r="G40" s="3">
        <f t="shared" ref="G40:Y40" si="9">+G20+G34-G37</f>
        <v>-616.78593383416046</v>
      </c>
      <c r="H40" s="3">
        <f t="shared" si="9"/>
        <v>-636.30937523201828</v>
      </c>
      <c r="I40" s="3">
        <f t="shared" si="9"/>
        <v>-655.63758221589978</v>
      </c>
      <c r="J40" s="3">
        <f t="shared" si="9"/>
        <v>-674.7725071299401</v>
      </c>
      <c r="K40" s="3">
        <f t="shared" si="9"/>
        <v>-693.7160827948419</v>
      </c>
      <c r="L40" s="3">
        <f t="shared" si="9"/>
        <v>-712.47022270309435</v>
      </c>
      <c r="M40" s="3">
        <f t="shared" si="9"/>
        <v>-731.03682121226302</v>
      </c>
      <c r="N40" s="3">
        <f t="shared" si="9"/>
        <v>-749.41775373634118</v>
      </c>
      <c r="O40" s="3">
        <f t="shared" si="9"/>
        <v>-767.61487693517756</v>
      </c>
      <c r="P40" s="3">
        <f t="shared" si="9"/>
        <v>1426.6720230960241</v>
      </c>
      <c r="Q40" s="3">
        <f t="shared" si="9"/>
        <v>1408.8370226488432</v>
      </c>
      <c r="R40" s="3">
        <f t="shared" si="9"/>
        <v>1391.1803722061359</v>
      </c>
      <c r="S40" s="3">
        <f t="shared" si="9"/>
        <v>1373.7002882678535</v>
      </c>
      <c r="T40" s="3">
        <f t="shared" si="9"/>
        <v>1356.3950051689558</v>
      </c>
      <c r="U40" s="3">
        <f t="shared" si="9"/>
        <v>1339.2627749010458</v>
      </c>
      <c r="V40" s="3">
        <f t="shared" si="9"/>
        <v>1322.3018669358157</v>
      </c>
      <c r="W40" s="3">
        <f t="shared" si="9"/>
        <v>1305.5105680502379</v>
      </c>
      <c r="X40" s="3">
        <f t="shared" si="9"/>
        <v>1288.8871821535149</v>
      </c>
      <c r="Y40" s="3">
        <f t="shared" si="9"/>
        <v>1272.43003011576</v>
      </c>
    </row>
    <row r="41" spans="1:25" x14ac:dyDescent="0.25">
      <c r="A41" s="31" t="s">
        <v>162</v>
      </c>
      <c r="E41" s="3">
        <f>+E40</f>
        <v>-22500</v>
      </c>
      <c r="F41" s="3">
        <f>+E41+F40</f>
        <v>-23097.065285957535</v>
      </c>
      <c r="G41" s="3">
        <f t="shared" ref="G41:Y41" si="10">+F41+G40</f>
        <v>-23713.851219791693</v>
      </c>
      <c r="H41" s="3">
        <f t="shared" si="10"/>
        <v>-24350.160595023714</v>
      </c>
      <c r="I41" s="3">
        <f t="shared" si="10"/>
        <v>-25005.798177239612</v>
      </c>
      <c r="J41" s="3">
        <f t="shared" si="10"/>
        <v>-25680.570684369552</v>
      </c>
      <c r="K41" s="3">
        <f t="shared" si="10"/>
        <v>-26374.286767164394</v>
      </c>
      <c r="L41" s="3">
        <f t="shared" si="10"/>
        <v>-27086.756989867488</v>
      </c>
      <c r="M41" s="3">
        <f t="shared" si="10"/>
        <v>-27817.793811079751</v>
      </c>
      <c r="N41" s="3">
        <f t="shared" si="10"/>
        <v>-28567.211564816091</v>
      </c>
      <c r="O41" s="3">
        <f t="shared" si="10"/>
        <v>-29334.826441751269</v>
      </c>
      <c r="P41" s="3">
        <f t="shared" si="10"/>
        <v>-27908.154418655246</v>
      </c>
      <c r="Q41" s="3">
        <f t="shared" si="10"/>
        <v>-26499.317396006401</v>
      </c>
      <c r="R41" s="3">
        <f t="shared" si="10"/>
        <v>-25108.137023800264</v>
      </c>
      <c r="S41" s="3">
        <f t="shared" si="10"/>
        <v>-23734.43673553241</v>
      </c>
      <c r="T41" s="3">
        <f t="shared" si="10"/>
        <v>-22378.041730363453</v>
      </c>
      <c r="U41" s="3">
        <f t="shared" si="10"/>
        <v>-21038.778955462407</v>
      </c>
      <c r="V41" s="3">
        <f t="shared" si="10"/>
        <v>-19716.47708852659</v>
      </c>
      <c r="W41" s="3">
        <f t="shared" si="10"/>
        <v>-18410.966520476351</v>
      </c>
      <c r="X41" s="3">
        <f t="shared" si="10"/>
        <v>-17122.079338322837</v>
      </c>
      <c r="Y41" s="3">
        <f t="shared" si="10"/>
        <v>-15849.649308207077</v>
      </c>
    </row>
    <row r="42" spans="1:25" x14ac:dyDescent="0.25">
      <c r="A42" s="19"/>
    </row>
    <row r="43" spans="1:25" x14ac:dyDescent="0.25">
      <c r="A43" s="31" t="s">
        <v>84</v>
      </c>
      <c r="E43" s="7">
        <f>+PomTab1!L25</f>
        <v>7.9622222222222219E-2</v>
      </c>
    </row>
    <row r="44" spans="1:25" x14ac:dyDescent="0.25">
      <c r="A44" s="31" t="s">
        <v>163</v>
      </c>
      <c r="E44" s="3">
        <f>-SUM(E11:E13)</f>
        <v>-22500</v>
      </c>
      <c r="F44" s="3">
        <f>IF(F9&lt;&gt;"",F40*(1+$E$43)^-F9,"")</f>
        <v>-553.03167503219413</v>
      </c>
      <c r="G44" s="3">
        <f t="shared" ref="G44:Y44" si="11">IF(G9&lt;&gt;"",G40*(1+$E$43)^-G9,"")</f>
        <v>-529.16465764275335</v>
      </c>
      <c r="H44" s="3">
        <f t="shared" si="11"/>
        <v>-505.65333560574328</v>
      </c>
      <c r="I44" s="3">
        <f t="shared" si="11"/>
        <v>-482.58806744388181</v>
      </c>
      <c r="J44" s="3">
        <f t="shared" si="11"/>
        <v>-460.04286920571764</v>
      </c>
      <c r="K44" s="3">
        <f t="shared" si="11"/>
        <v>-438.07742316376471</v>
      </c>
      <c r="L44" s="3">
        <f t="shared" si="11"/>
        <v>-416.73887167539743</v>
      </c>
      <c r="M44" s="3">
        <f t="shared" si="11"/>
        <v>-396.06341758737966</v>
      </c>
      <c r="N44" s="3">
        <f t="shared" si="11"/>
        <v>-376.07775052839588</v>
      </c>
      <c r="O44" s="3">
        <f t="shared" si="11"/>
        <v>-356.8003165858716</v>
      </c>
      <c r="P44" s="3">
        <f t="shared" si="11"/>
        <v>614.23445982458077</v>
      </c>
      <c r="Q44" s="3">
        <f t="shared" si="11"/>
        <v>561.82230012046045</v>
      </c>
      <c r="R44" s="3">
        <f t="shared" si="11"/>
        <v>513.86595332069578</v>
      </c>
      <c r="S44" s="3">
        <f t="shared" si="11"/>
        <v>469.98779125169779</v>
      </c>
      <c r="T44" s="3">
        <f t="shared" si="11"/>
        <v>429.84210442834137</v>
      </c>
      <c r="U44" s="3">
        <f t="shared" si="11"/>
        <v>393.11241030478914</v>
      </c>
      <c r="V44" s="3">
        <f t="shared" si="11"/>
        <v>359.50898807898608</v>
      </c>
      <c r="W44" s="3">
        <f t="shared" si="11"/>
        <v>328.76662101503888</v>
      </c>
      <c r="X44" s="3">
        <f t="shared" si="11"/>
        <v>300.64252884481675</v>
      </c>
      <c r="Y44" s="3">
        <f t="shared" si="11"/>
        <v>274.91447427336323</v>
      </c>
    </row>
    <row r="45" spans="1:25" x14ac:dyDescent="0.25">
      <c r="A45" s="31" t="s">
        <v>164</v>
      </c>
      <c r="E45" s="3">
        <f>+E44</f>
        <v>-22500</v>
      </c>
      <c r="F45" s="3">
        <f>+E45+F44</f>
        <v>-23053.031675032194</v>
      </c>
      <c r="G45" s="3">
        <f t="shared" ref="G45:Y45" si="12">+F45+G44</f>
        <v>-23582.196332674946</v>
      </c>
      <c r="H45" s="3">
        <f t="shared" si="12"/>
        <v>-24087.849668280691</v>
      </c>
      <c r="I45" s="3">
        <f t="shared" si="12"/>
        <v>-24570.437735724572</v>
      </c>
      <c r="J45" s="3">
        <f t="shared" si="12"/>
        <v>-25030.48060493029</v>
      </c>
      <c r="K45" s="3">
        <f t="shared" si="12"/>
        <v>-25468.558028094056</v>
      </c>
      <c r="L45" s="3">
        <f t="shared" si="12"/>
        <v>-25885.296899769452</v>
      </c>
      <c r="M45" s="3">
        <f t="shared" si="12"/>
        <v>-26281.36031735683</v>
      </c>
      <c r="N45" s="3">
        <f t="shared" si="12"/>
        <v>-26657.438067885225</v>
      </c>
      <c r="O45" s="3">
        <f t="shared" si="12"/>
        <v>-27014.238384471097</v>
      </c>
      <c r="P45" s="3">
        <f t="shared" si="12"/>
        <v>-26400.003924646517</v>
      </c>
      <c r="Q45" s="3">
        <f t="shared" si="12"/>
        <v>-25838.181624526056</v>
      </c>
      <c r="R45" s="3">
        <f t="shared" si="12"/>
        <v>-25324.315671205361</v>
      </c>
      <c r="S45" s="3">
        <f t="shared" si="12"/>
        <v>-24854.327879953664</v>
      </c>
      <c r="T45" s="3">
        <f t="shared" si="12"/>
        <v>-24424.485775525322</v>
      </c>
      <c r="U45" s="3">
        <f t="shared" si="12"/>
        <v>-24031.373365220534</v>
      </c>
      <c r="V45" s="3">
        <f t="shared" si="12"/>
        <v>-23671.864377141548</v>
      </c>
      <c r="W45" s="3">
        <f t="shared" si="12"/>
        <v>-23343.09775612651</v>
      </c>
      <c r="X45" s="3">
        <f t="shared" si="12"/>
        <v>-23042.455227281695</v>
      </c>
      <c r="Y45" s="3">
        <f t="shared" si="12"/>
        <v>-22767.540753008332</v>
      </c>
    </row>
    <row r="46" spans="1:25" x14ac:dyDescent="0.25">
      <c r="A46" s="31"/>
    </row>
    <row r="47" spans="1:25" x14ac:dyDescent="0.25">
      <c r="A47" s="32" t="s">
        <v>165</v>
      </c>
      <c r="B47" s="34"/>
      <c r="C47" s="34"/>
      <c r="D47" s="34"/>
      <c r="E47" s="36">
        <f>+NPV(E43,E40:Y40)</f>
        <v>-21088.432865104562</v>
      </c>
      <c r="F47" s="34"/>
    </row>
    <row r="48" spans="1:25" x14ac:dyDescent="0.25">
      <c r="A48" s="32" t="s">
        <v>166</v>
      </c>
      <c r="B48" s="34"/>
      <c r="C48" s="34"/>
      <c r="D48" s="34"/>
      <c r="E48" s="35">
        <f>+IRR(E40:Y40,10)</f>
        <v>-5.3811016807566503E-2</v>
      </c>
      <c r="F48" s="34"/>
    </row>
    <row r="49" spans="1:26" x14ac:dyDescent="0.25">
      <c r="A49" s="32" t="s">
        <v>167</v>
      </c>
      <c r="B49" s="34"/>
      <c r="C49" s="34"/>
      <c r="D49" s="34"/>
      <c r="E49" s="36" cm="1">
        <f t="array" ref="E49">+NPV(E43,E20:X20/-NPV(E43,E34:Y34))</f>
        <v>0.50582026330821861</v>
      </c>
      <c r="F49" s="34"/>
    </row>
    <row r="50" spans="1:26" x14ac:dyDescent="0.25">
      <c r="A50" s="32" t="s">
        <v>168</v>
      </c>
      <c r="B50" s="34"/>
      <c r="C50" s="34"/>
      <c r="D50" s="34"/>
      <c r="E50" s="34" t="e" cm="1">
        <f t="array" ref="E50">+LOOKUP(INDEX(E41:Y41,MATCH(TRUE,E41:Y41&gt;0,0)),E41:Y41,E9:Y9)</f>
        <v>#N/A</v>
      </c>
      <c r="F50" s="34" t="s">
        <v>170</v>
      </c>
    </row>
    <row r="51" spans="1:26" x14ac:dyDescent="0.25">
      <c r="A51" s="32" t="s">
        <v>169</v>
      </c>
      <c r="B51" s="34"/>
      <c r="C51" s="34"/>
      <c r="D51" s="34"/>
      <c r="E51" s="34" t="e" cm="1">
        <f t="array" ref="E51">+LOOKUP(INDEX(E45:Y45,MATCH(TRUE,E45:Y45&gt;0,0)),E45:Y45,E9:Y9)</f>
        <v>#N/A</v>
      </c>
      <c r="F51" s="34" t="s">
        <v>170</v>
      </c>
    </row>
    <row r="54" spans="1:26" x14ac:dyDescent="0.25">
      <c r="A54" s="63" t="s">
        <v>153</v>
      </c>
      <c r="B54" s="63"/>
      <c r="C54" s="63"/>
      <c r="D54" s="63"/>
      <c r="F54" s="3">
        <f t="shared" ref="F54:Y54" si="13">IF(F9&lt;&gt;"",F32,"")</f>
        <v>-5487.7274578366705</v>
      </c>
      <c r="G54" s="3">
        <f t="shared" si="13"/>
        <v>-5481.0414839945042</v>
      </c>
      <c r="H54" s="3">
        <f t="shared" si="13"/>
        <v>-5474.422369890759</v>
      </c>
      <c r="I54" s="3">
        <f t="shared" si="13"/>
        <v>-5467.8694469280526</v>
      </c>
      <c r="J54" s="3">
        <f t="shared" si="13"/>
        <v>-5461.3820531949714</v>
      </c>
      <c r="K54" s="3">
        <f t="shared" si="13"/>
        <v>-5454.9595333992229</v>
      </c>
      <c r="L54" s="3">
        <f t="shared" si="13"/>
        <v>-5448.6012388014315</v>
      </c>
      <c r="M54" s="3">
        <f t="shared" si="13"/>
        <v>-5442.3065271496171</v>
      </c>
      <c r="N54" s="3">
        <f t="shared" si="13"/>
        <v>-5436.0747626143211</v>
      </c>
      <c r="O54" s="3">
        <f t="shared" si="13"/>
        <v>-5429.9053157243779</v>
      </c>
      <c r="P54" s="3">
        <f t="shared" si="13"/>
        <v>-3211.4955113052843</v>
      </c>
      <c r="Q54" s="3">
        <f t="shared" si="13"/>
        <v>-3205.4488364084514</v>
      </c>
      <c r="R54" s="3">
        <f t="shared" si="13"/>
        <v>-3199.4626282605868</v>
      </c>
      <c r="S54" s="3">
        <f t="shared" si="13"/>
        <v>-3193.5362821942008</v>
      </c>
      <c r="T54" s="3">
        <f t="shared" si="13"/>
        <v>-3187.6691995884785</v>
      </c>
      <c r="U54" s="3">
        <f t="shared" si="13"/>
        <v>-3181.8607878088137</v>
      </c>
      <c r="V54" s="3">
        <f t="shared" si="13"/>
        <v>-3176.1104601469456</v>
      </c>
      <c r="W54" s="3">
        <f t="shared" si="13"/>
        <v>-3170.4176357616957</v>
      </c>
      <c r="X54" s="3">
        <f t="shared" si="13"/>
        <v>-3164.781739620299</v>
      </c>
      <c r="Y54" s="3">
        <f t="shared" si="13"/>
        <v>-3159.2022024403159</v>
      </c>
      <c r="Z54" s="3"/>
    </row>
    <row r="55" spans="1:26" x14ac:dyDescent="0.25">
      <c r="A55" s="63" t="s">
        <v>154</v>
      </c>
      <c r="B55" s="63"/>
      <c r="C55" s="63"/>
      <c r="D55" s="63"/>
      <c r="F55" s="3">
        <f>IF(F9&lt;&gt;"",F54*(1+UnosPodataka!M19)^-'FinInd+CO2'!F9,"")</f>
        <v>-5177.101375317613</v>
      </c>
      <c r="G55" s="3">
        <f>IF(G9&lt;&gt;"",G54*(1+UnosPodataka!N19)^-'FinInd+CO2'!G9,"")</f>
        <v>-5481.0414839945042</v>
      </c>
      <c r="H55" s="3">
        <f>IF(H9&lt;&gt;"",H54*(1+UnosPodataka!O19)^-'FinInd+CO2'!H9,"")</f>
        <v>-5474.422369890759</v>
      </c>
      <c r="I55" s="3">
        <f>IF(I9&lt;&gt;"",I54*(1+UnosPodataka!P19)^-'FinInd+CO2'!I9,"")</f>
        <v>-5467.8694469280526</v>
      </c>
      <c r="J55" s="3">
        <f>IF(J9&lt;&gt;"",J54*(1+UnosPodataka!Q19)^-'FinInd+CO2'!J9,"")</f>
        <v>-5461.3820531949714</v>
      </c>
      <c r="K55" s="3">
        <f>IF(K9&lt;&gt;"",K54*(1+UnosPodataka!R19)^-'FinInd+CO2'!K9,"")</f>
        <v>-5454.9595333992229</v>
      </c>
      <c r="L55" s="3">
        <f>IF(L9&lt;&gt;"",L54*(1+UnosPodataka!S19)^-'FinInd+CO2'!L9,"")</f>
        <v>-5448.6012388014315</v>
      </c>
      <c r="M55" s="3">
        <f>IF(M9&lt;&gt;"",M54*(1+UnosPodataka!T19)^-'FinInd+CO2'!M9,"")</f>
        <v>-5442.3065271496171</v>
      </c>
      <c r="N55" s="3">
        <f>IF(N9&lt;&gt;"",N54*(1+UnosPodataka!U19)^-'FinInd+CO2'!N9,"")</f>
        <v>-5436.0747626143211</v>
      </c>
      <c r="O55" s="3">
        <f>IF(O9&lt;&gt;"",O54*(1+UnosPodataka!V19)^-'FinInd+CO2'!O9,"")</f>
        <v>-5429.9053157243779</v>
      </c>
      <c r="P55" s="3">
        <f>IF(P9&lt;&gt;"",P54*(1+UnosPodataka!W19)^-'FinInd+CO2'!P9,"")</f>
        <v>-3211.4955113052843</v>
      </c>
      <c r="Q55" s="3">
        <f>IF(Q9&lt;&gt;"",Q54*(1+UnosPodataka!X19)^-'FinInd+CO2'!Q9,"")</f>
        <v>-3205.4488364084514</v>
      </c>
      <c r="R55" s="3">
        <f>IF(R9&lt;&gt;"",R54*(1+UnosPodataka!Y19)^-'FinInd+CO2'!R9,"")</f>
        <v>-3199.4626282605868</v>
      </c>
      <c r="S55" s="3">
        <f>IF(S9&lt;&gt;"",S54*(1+UnosPodataka!Z19)^-'FinInd+CO2'!S9,"")</f>
        <v>-3193.5362821942008</v>
      </c>
      <c r="T55" s="3">
        <f>IF(T9&lt;&gt;"",T54*(1+UnosPodataka!AA19)^-'FinInd+CO2'!T9,"")</f>
        <v>-3187.6691995884785</v>
      </c>
      <c r="U55" s="3">
        <f>IF(U9&lt;&gt;"",U54*(1+UnosPodataka!AB19)^-'FinInd+CO2'!U9,"")</f>
        <v>-3181.8607878088137</v>
      </c>
      <c r="V55" s="3">
        <f>IF(V9&lt;&gt;"",V54*(1+UnosPodataka!AC19)^-'FinInd+CO2'!V9,"")</f>
        <v>-3176.1104601469456</v>
      </c>
      <c r="W55" s="3">
        <f>IF(W9&lt;&gt;"",W54*(1+UnosPodataka!AD19)^-'FinInd+CO2'!W9,"")</f>
        <v>-3170.4176357616957</v>
      </c>
      <c r="X55" s="3">
        <f>IF(X9&lt;&gt;"",X54*(1+UnosPodataka!AE19)^-'FinInd+CO2'!X9,"")</f>
        <v>-3164.781739620299</v>
      </c>
      <c r="Y55" s="3">
        <f>IF(Y9&lt;&gt;"",Y54*(1+UnosPodataka!AF19)^-'FinInd+CO2'!Y9,"")</f>
        <v>-3159.2022024403159</v>
      </c>
      <c r="Z55" s="3"/>
    </row>
    <row r="56" spans="1:26" x14ac:dyDescent="0.25">
      <c r="A56" s="63" t="s">
        <v>155</v>
      </c>
      <c r="B56" s="63"/>
      <c r="C56" s="63"/>
      <c r="D56" s="63"/>
      <c r="E56" s="3">
        <f>-E11</f>
        <v>-12500</v>
      </c>
      <c r="F56" s="3">
        <f t="shared" ref="F56:Y56" si="14">IF(F9&lt;&gt;"",E56+F55,"")</f>
        <v>-17677.101375317612</v>
      </c>
      <c r="G56" s="3">
        <f t="shared" si="14"/>
        <v>-23158.142859312116</v>
      </c>
      <c r="H56" s="3">
        <f t="shared" si="14"/>
        <v>-28632.565229202875</v>
      </c>
      <c r="I56" s="3">
        <f t="shared" si="14"/>
        <v>-34100.434676130928</v>
      </c>
      <c r="J56" s="3">
        <f t="shared" si="14"/>
        <v>-39561.816729325903</v>
      </c>
      <c r="K56" s="3">
        <f t="shared" si="14"/>
        <v>-45016.776262725129</v>
      </c>
      <c r="L56" s="3">
        <f t="shared" si="14"/>
        <v>-50465.377501526556</v>
      </c>
      <c r="M56" s="3">
        <f t="shared" si="14"/>
        <v>-55907.684028676173</v>
      </c>
      <c r="N56" s="3">
        <f t="shared" si="14"/>
        <v>-61343.758791290493</v>
      </c>
      <c r="O56" s="3">
        <f t="shared" si="14"/>
        <v>-66773.664107014876</v>
      </c>
      <c r="P56" s="3">
        <f t="shared" si="14"/>
        <v>-69985.159618320162</v>
      </c>
      <c r="Q56" s="3">
        <f t="shared" si="14"/>
        <v>-73190.608454728615</v>
      </c>
      <c r="R56" s="3">
        <f t="shared" si="14"/>
        <v>-76390.071082989205</v>
      </c>
      <c r="S56" s="3">
        <f t="shared" si="14"/>
        <v>-79583.607365183401</v>
      </c>
      <c r="T56" s="3">
        <f t="shared" si="14"/>
        <v>-82771.276564771877</v>
      </c>
      <c r="U56" s="3">
        <f t="shared" si="14"/>
        <v>-85953.137352580685</v>
      </c>
      <c r="V56" s="3">
        <f t="shared" si="14"/>
        <v>-89129.247812727626</v>
      </c>
      <c r="W56" s="3">
        <f t="shared" si="14"/>
        <v>-92299.665448489322</v>
      </c>
      <c r="X56" s="3">
        <f t="shared" si="14"/>
        <v>-95464.447188109625</v>
      </c>
      <c r="Y56" s="3">
        <f t="shared" si="14"/>
        <v>-98623.649390549937</v>
      </c>
    </row>
    <row r="57" spans="1:26" x14ac:dyDescent="0.25">
      <c r="A57" s="63" t="s">
        <v>156</v>
      </c>
      <c r="B57" s="63"/>
      <c r="C57" s="63"/>
      <c r="D57" s="63"/>
      <c r="F57" s="3">
        <f t="shared" ref="F57:Y57" si="15">IF(F9&lt;&gt;"",F20,"")</f>
        <v>2640.6621718791353</v>
      </c>
      <c r="G57" s="3">
        <f t="shared" si="15"/>
        <v>2614.2555501603438</v>
      </c>
      <c r="H57" s="3">
        <f t="shared" si="15"/>
        <v>2588.1129946587407</v>
      </c>
      <c r="I57" s="3">
        <f t="shared" si="15"/>
        <v>2562.2318647121529</v>
      </c>
      <c r="J57" s="3">
        <f t="shared" si="15"/>
        <v>2536.6095460650313</v>
      </c>
      <c r="K57" s="3">
        <f t="shared" si="15"/>
        <v>2511.243450604381</v>
      </c>
      <c r="L57" s="3">
        <f t="shared" si="15"/>
        <v>2486.1310160983371</v>
      </c>
      <c r="M57" s="3">
        <f t="shared" si="15"/>
        <v>2461.269705937354</v>
      </c>
      <c r="N57" s="3">
        <f t="shared" si="15"/>
        <v>2436.6570088779799</v>
      </c>
      <c r="O57" s="3">
        <f t="shared" si="15"/>
        <v>2412.2904387892004</v>
      </c>
      <c r="P57" s="3">
        <f t="shared" si="15"/>
        <v>2388.1675344013083</v>
      </c>
      <c r="Q57" s="3">
        <f t="shared" si="15"/>
        <v>2364.2858590572946</v>
      </c>
      <c r="R57" s="3">
        <f t="shared" si="15"/>
        <v>2340.6430004667227</v>
      </c>
      <c r="S57" s="3">
        <f t="shared" si="15"/>
        <v>2317.2365704620543</v>
      </c>
      <c r="T57" s="3">
        <f t="shared" si="15"/>
        <v>2294.0642047574343</v>
      </c>
      <c r="U57" s="3">
        <f t="shared" si="15"/>
        <v>2271.1235627098595</v>
      </c>
      <c r="V57" s="3">
        <f t="shared" si="15"/>
        <v>2248.4123270827613</v>
      </c>
      <c r="W57" s="3">
        <f t="shared" si="15"/>
        <v>2225.9282038119336</v>
      </c>
      <c r="X57" s="3">
        <f t="shared" si="15"/>
        <v>2203.668921773814</v>
      </c>
      <c r="Y57" s="3">
        <f t="shared" si="15"/>
        <v>2181.6322325560759</v>
      </c>
    </row>
    <row r="58" spans="1:26" x14ac:dyDescent="0.25">
      <c r="A58" s="63" t="s">
        <v>157</v>
      </c>
      <c r="B58" s="63"/>
      <c r="C58" s="63"/>
      <c r="D58" s="63"/>
      <c r="F58" s="3">
        <f>IF(F9&lt;&gt;"",F57*(1+UnosPodataka!M19)^-F9,"")</f>
        <v>2491.190728187863</v>
      </c>
      <c r="G58" s="3">
        <f>IF(G9&lt;&gt;"",G57*(1+UnosPodataka!N19)^-G9,"")</f>
        <v>2614.2555501603438</v>
      </c>
      <c r="H58" s="3">
        <f>IF(H9&lt;&gt;"",H57*(1+UnosPodataka!O19)^-H9,"")</f>
        <v>2588.1129946587407</v>
      </c>
      <c r="I58" s="3">
        <f>IF(I9&lt;&gt;"",I57*(1+UnosPodataka!P19)^-I9,"")</f>
        <v>2562.2318647121529</v>
      </c>
      <c r="J58" s="3">
        <f>IF(J9&lt;&gt;"",J57*(1+UnosPodataka!Q19)^-J9,"")</f>
        <v>2536.6095460650313</v>
      </c>
      <c r="K58" s="3">
        <f>IF(K9&lt;&gt;"",K57*(1+UnosPodataka!R19)^-K9,"")</f>
        <v>2511.243450604381</v>
      </c>
      <c r="L58" s="3">
        <f>IF(L9&lt;&gt;"",L57*(1+UnosPodataka!S19)^-L9,"")</f>
        <v>2486.1310160983371</v>
      </c>
      <c r="M58" s="3">
        <f>IF(M9&lt;&gt;"",M57*(1+UnosPodataka!T19)^-M9,"")</f>
        <v>2461.269705937354</v>
      </c>
      <c r="N58" s="3">
        <f>IF(N9&lt;&gt;"",N57*(1+UnosPodataka!U19)^-N9,"")</f>
        <v>2436.6570088779799</v>
      </c>
      <c r="O58" s="3">
        <f>IF(O9&lt;&gt;"",O57*(1+UnosPodataka!V19)^-O9,"")</f>
        <v>2412.2904387892004</v>
      </c>
      <c r="P58" s="3">
        <f>IF(P9&lt;&gt;"",P57*(1+UnosPodataka!W19)^-P9,"")</f>
        <v>2388.1675344013083</v>
      </c>
      <c r="Q58" s="3">
        <f>IF(Q9&lt;&gt;"",Q57*(1+UnosPodataka!X19)^-Q9,"")</f>
        <v>2364.2858590572946</v>
      </c>
      <c r="R58" s="3">
        <f>IF(R9&lt;&gt;"",R57*(1+UnosPodataka!Y19)^-R9,"")</f>
        <v>2340.6430004667227</v>
      </c>
      <c r="S58" s="3">
        <f>IF(S9&lt;&gt;"",S57*(1+UnosPodataka!Z19)^-S9,"")</f>
        <v>2317.2365704620543</v>
      </c>
      <c r="T58" s="3">
        <f>IF(T9&lt;&gt;"",T57*(1+UnosPodataka!AA19)^-T9,"")</f>
        <v>2294.0642047574343</v>
      </c>
      <c r="U58" s="3">
        <f>IF(U9&lt;&gt;"",U57*(1+UnosPodataka!AB19)^-U9,"")</f>
        <v>2271.1235627098595</v>
      </c>
      <c r="V58" s="3">
        <f>IF(V9&lt;&gt;"",V57*(1+UnosPodataka!AC19)^-V9,"")</f>
        <v>2248.4123270827613</v>
      </c>
      <c r="W58" s="3">
        <f>IF(W9&lt;&gt;"",W57*(1+UnosPodataka!AD19)^-W9,"")</f>
        <v>2225.9282038119336</v>
      </c>
      <c r="X58" s="3">
        <f>IF(X9&lt;&gt;"",X57*(1+UnosPodataka!AE19)^-X9,"")</f>
        <v>2203.668921773814</v>
      </c>
      <c r="Y58" s="3">
        <f>IF(Y9&lt;&gt;"",Y57*(1+UnosPodataka!AF19)^-Y9,"")</f>
        <v>2181.6322325560759</v>
      </c>
    </row>
    <row r="59" spans="1:26" x14ac:dyDescent="0.25">
      <c r="A59" s="63" t="s">
        <v>158</v>
      </c>
      <c r="B59" s="63"/>
      <c r="C59" s="63"/>
      <c r="D59" s="63"/>
      <c r="F59" s="3">
        <f t="shared" ref="F59:Y59" si="16">IF(F9&lt;&gt;"",E59+F58,"")</f>
        <v>2491.190728187863</v>
      </c>
      <c r="G59" s="3">
        <f t="shared" si="16"/>
        <v>5105.4462783482068</v>
      </c>
      <c r="H59" s="3">
        <f t="shared" si="16"/>
        <v>7693.5592730069475</v>
      </c>
      <c r="I59" s="3">
        <f t="shared" si="16"/>
        <v>10255.791137719101</v>
      </c>
      <c r="J59" s="3">
        <f t="shared" si="16"/>
        <v>12792.400683784133</v>
      </c>
      <c r="K59" s="3">
        <f t="shared" si="16"/>
        <v>15303.644134388514</v>
      </c>
      <c r="L59" s="3">
        <f t="shared" si="16"/>
        <v>17789.77515048685</v>
      </c>
      <c r="M59" s="3">
        <f t="shared" si="16"/>
        <v>20251.044856424203</v>
      </c>
      <c r="N59" s="3">
        <f t="shared" si="16"/>
        <v>22687.701865302184</v>
      </c>
      <c r="O59" s="3">
        <f t="shared" si="16"/>
        <v>25099.992304091385</v>
      </c>
      <c r="P59" s="3">
        <f t="shared" si="16"/>
        <v>27488.159838492695</v>
      </c>
      <c r="Q59" s="3">
        <f t="shared" si="16"/>
        <v>29852.445697549989</v>
      </c>
      <c r="R59" s="3">
        <f t="shared" si="16"/>
        <v>32193.088698016712</v>
      </c>
      <c r="S59" s="3">
        <f t="shared" si="16"/>
        <v>34510.325268478766</v>
      </c>
      <c r="T59" s="3">
        <f t="shared" si="16"/>
        <v>36804.389473236202</v>
      </c>
      <c r="U59" s="3">
        <f t="shared" si="16"/>
        <v>39075.51303594606</v>
      </c>
      <c r="V59" s="3">
        <f t="shared" si="16"/>
        <v>41323.925363028822</v>
      </c>
      <c r="W59" s="3">
        <f t="shared" si="16"/>
        <v>43549.853566840757</v>
      </c>
      <c r="X59" s="3">
        <f t="shared" si="16"/>
        <v>45753.522488614573</v>
      </c>
      <c r="Y59" s="3">
        <f t="shared" si="16"/>
        <v>47935.154721170649</v>
      </c>
    </row>
    <row r="60" spans="1:26" x14ac:dyDescent="0.25">
      <c r="A60" s="63" t="s">
        <v>159</v>
      </c>
      <c r="B60" s="63"/>
      <c r="C60" s="63"/>
      <c r="D60" s="63"/>
      <c r="F60" s="3">
        <f t="shared" ref="F60:X60" si="17">IF(F9&lt;&gt;"",F59+F56,"")</f>
        <v>-15185.910647129749</v>
      </c>
      <c r="G60" s="3">
        <f t="shared" si="17"/>
        <v>-18052.696580963908</v>
      </c>
      <c r="H60" s="3">
        <f t="shared" si="17"/>
        <v>-20939.005956195928</v>
      </c>
      <c r="I60" s="3">
        <f t="shared" si="17"/>
        <v>-23844.643538411827</v>
      </c>
      <c r="J60" s="3">
        <f t="shared" si="17"/>
        <v>-26769.41604554177</v>
      </c>
      <c r="K60" s="3">
        <f t="shared" si="17"/>
        <v>-29713.132128336612</v>
      </c>
      <c r="L60" s="3">
        <f t="shared" si="17"/>
        <v>-32675.602351039706</v>
      </c>
      <c r="M60" s="3">
        <f t="shared" si="17"/>
        <v>-35656.639172251969</v>
      </c>
      <c r="N60" s="3">
        <f t="shared" si="17"/>
        <v>-38656.056925988305</v>
      </c>
      <c r="O60" s="3">
        <f t="shared" si="17"/>
        <v>-41673.671802923491</v>
      </c>
      <c r="P60" s="3">
        <f t="shared" si="17"/>
        <v>-42496.999779827471</v>
      </c>
      <c r="Q60" s="3">
        <f t="shared" si="17"/>
        <v>-43338.162757178623</v>
      </c>
      <c r="R60" s="3">
        <f t="shared" si="17"/>
        <v>-44196.982384972493</v>
      </c>
      <c r="S60" s="3">
        <f t="shared" si="17"/>
        <v>-45073.282096704635</v>
      </c>
      <c r="T60" s="3">
        <f t="shared" si="17"/>
        <v>-45966.887091535675</v>
      </c>
      <c r="U60" s="3">
        <f t="shared" si="17"/>
        <v>-46877.624316634625</v>
      </c>
      <c r="V60" s="3">
        <f t="shared" si="17"/>
        <v>-47805.322449698804</v>
      </c>
      <c r="W60" s="3">
        <f t="shared" si="17"/>
        <v>-48749.811881648566</v>
      </c>
      <c r="X60" s="3">
        <f t="shared" si="17"/>
        <v>-49710.924699495052</v>
      </c>
    </row>
    <row r="61" spans="1:26" x14ac:dyDescent="0.25">
      <c r="A61" s="30" t="s">
        <v>160</v>
      </c>
      <c r="B61" s="30"/>
      <c r="C61" s="30"/>
      <c r="D61" s="30"/>
      <c r="E61" s="34"/>
      <c r="F61" s="33">
        <f>-F54/F14</f>
        <v>249.44215717439411</v>
      </c>
      <c r="G61" s="33">
        <f t="shared" ref="G61:Y61" si="18">-G54/G14</f>
        <v>251.65479724492673</v>
      </c>
      <c r="H61" s="33">
        <f t="shared" si="18"/>
        <v>253.88978721516168</v>
      </c>
      <c r="I61" s="33">
        <f t="shared" si="18"/>
        <v>256.1473528416617</v>
      </c>
      <c r="J61" s="33">
        <f t="shared" si="18"/>
        <v>258.42772216135859</v>
      </c>
      <c r="K61" s="33">
        <f t="shared" si="18"/>
        <v>260.73112551458786</v>
      </c>
      <c r="L61" s="33">
        <f t="shared" si="18"/>
        <v>263.05779556835478</v>
      </c>
      <c r="M61" s="33">
        <f t="shared" si="18"/>
        <v>265.40796733983649</v>
      </c>
      <c r="N61" s="33">
        <f t="shared" si="18"/>
        <v>267.78187822012103</v>
      </c>
      <c r="O61" s="33">
        <f t="shared" si="18"/>
        <v>270.17976799818621</v>
      </c>
      <c r="P61" s="33">
        <f t="shared" si="18"/>
        <v>161.41083810653106</v>
      </c>
      <c r="Q61" s="33">
        <f t="shared" si="18"/>
        <v>162.73427293395395</v>
      </c>
      <c r="R61" s="33">
        <f t="shared" si="18"/>
        <v>164.07107578993666</v>
      </c>
      <c r="S61" s="33">
        <f t="shared" si="18"/>
        <v>165.42138170507076</v>
      </c>
      <c r="T61" s="33">
        <f t="shared" si="18"/>
        <v>166.785327073893</v>
      </c>
      <c r="U61" s="33">
        <f t="shared" si="18"/>
        <v>168.16304966866301</v>
      </c>
      <c r="V61" s="33">
        <f t="shared" si="18"/>
        <v>169.55468865327913</v>
      </c>
      <c r="W61" s="33">
        <f t="shared" si="18"/>
        <v>170.96038459733586</v>
      </c>
      <c r="X61" s="33">
        <f t="shared" si="18"/>
        <v>172.38027949032244</v>
      </c>
      <c r="Y61" s="33">
        <f t="shared" si="18"/>
        <v>173.81451675596546</v>
      </c>
    </row>
    <row r="63" spans="1:26" x14ac:dyDescent="0.25">
      <c r="A63" s="63" t="s">
        <v>34</v>
      </c>
      <c r="B63" s="63"/>
      <c r="C63" s="63"/>
      <c r="D63" s="63"/>
      <c r="E63" s="3">
        <f>E11</f>
        <v>12500</v>
      </c>
      <c r="F63" s="3">
        <f t="shared" ref="F63:Y63" si="19">IF(F9="",E63,-F56)</f>
        <v>17677.101375317612</v>
      </c>
      <c r="G63" s="3">
        <f t="shared" si="19"/>
        <v>23158.142859312116</v>
      </c>
      <c r="H63" s="3">
        <f t="shared" si="19"/>
        <v>28632.565229202875</v>
      </c>
      <c r="I63" s="3">
        <f t="shared" si="19"/>
        <v>34100.434676130928</v>
      </c>
      <c r="J63" s="3">
        <f t="shared" si="19"/>
        <v>39561.816729325903</v>
      </c>
      <c r="K63" s="3">
        <f t="shared" si="19"/>
        <v>45016.776262725129</v>
      </c>
      <c r="L63" s="3">
        <f t="shared" si="19"/>
        <v>50465.377501526556</v>
      </c>
      <c r="M63" s="3">
        <f t="shared" si="19"/>
        <v>55907.684028676173</v>
      </c>
      <c r="N63" s="3">
        <f t="shared" si="19"/>
        <v>61343.758791290493</v>
      </c>
      <c r="O63" s="3">
        <f t="shared" si="19"/>
        <v>66773.664107014876</v>
      </c>
      <c r="P63" s="3">
        <f t="shared" si="19"/>
        <v>69985.159618320162</v>
      </c>
      <c r="Q63" s="3">
        <f t="shared" si="19"/>
        <v>73190.608454728615</v>
      </c>
      <c r="R63" s="3">
        <f t="shared" si="19"/>
        <v>76390.071082989205</v>
      </c>
      <c r="S63" s="3">
        <f t="shared" si="19"/>
        <v>79583.607365183401</v>
      </c>
      <c r="T63" s="3">
        <f t="shared" si="19"/>
        <v>82771.276564771877</v>
      </c>
      <c r="U63" s="3">
        <f t="shared" si="19"/>
        <v>85953.137352580685</v>
      </c>
      <c r="V63" s="3">
        <f t="shared" si="19"/>
        <v>89129.247812727626</v>
      </c>
      <c r="W63" s="3">
        <f t="shared" si="19"/>
        <v>92299.665448489322</v>
      </c>
      <c r="X63" s="3">
        <f t="shared" si="19"/>
        <v>95464.447188109625</v>
      </c>
      <c r="Y63" s="3">
        <f t="shared" si="19"/>
        <v>98623.649390549937</v>
      </c>
    </row>
    <row r="64" spans="1:26" x14ac:dyDescent="0.25">
      <c r="A64" s="63" t="s">
        <v>35</v>
      </c>
      <c r="B64" s="63"/>
      <c r="C64" s="63"/>
      <c r="D64" s="63"/>
      <c r="F64" s="3">
        <f t="shared" ref="F64:Y64" si="20">IF(F9="",E64,F59)</f>
        <v>2491.190728187863</v>
      </c>
      <c r="G64" s="3">
        <f t="shared" si="20"/>
        <v>5105.4462783482068</v>
      </c>
      <c r="H64" s="3">
        <f t="shared" si="20"/>
        <v>7693.5592730069475</v>
      </c>
      <c r="I64" s="3">
        <f t="shared" si="20"/>
        <v>10255.791137719101</v>
      </c>
      <c r="J64" s="3">
        <f t="shared" si="20"/>
        <v>12792.400683784133</v>
      </c>
      <c r="K64" s="3">
        <f t="shared" si="20"/>
        <v>15303.644134388514</v>
      </c>
      <c r="L64" s="3">
        <f t="shared" si="20"/>
        <v>17789.77515048685</v>
      </c>
      <c r="M64" s="3">
        <f t="shared" si="20"/>
        <v>20251.044856424203</v>
      </c>
      <c r="N64" s="3">
        <f t="shared" si="20"/>
        <v>22687.701865302184</v>
      </c>
      <c r="O64" s="3">
        <f t="shared" si="20"/>
        <v>25099.992304091385</v>
      </c>
      <c r="P64" s="3">
        <f t="shared" si="20"/>
        <v>27488.159838492695</v>
      </c>
      <c r="Q64" s="3">
        <f t="shared" si="20"/>
        <v>29852.445697549989</v>
      </c>
      <c r="R64" s="3">
        <f t="shared" si="20"/>
        <v>32193.088698016712</v>
      </c>
      <c r="S64" s="3">
        <f t="shared" si="20"/>
        <v>34510.325268478766</v>
      </c>
      <c r="T64" s="3">
        <f t="shared" si="20"/>
        <v>36804.389473236202</v>
      </c>
      <c r="U64" s="3">
        <f t="shared" si="20"/>
        <v>39075.51303594606</v>
      </c>
      <c r="V64" s="3">
        <f t="shared" si="20"/>
        <v>41323.925363028822</v>
      </c>
      <c r="W64" s="3">
        <f t="shared" si="20"/>
        <v>43549.853566840757</v>
      </c>
      <c r="X64" s="3">
        <f t="shared" si="20"/>
        <v>45753.522488614573</v>
      </c>
      <c r="Y64" s="3">
        <f t="shared" si="20"/>
        <v>47935.154721170649</v>
      </c>
    </row>
  </sheetData>
  <mergeCells count="39">
    <mergeCell ref="F3:I3"/>
    <mergeCell ref="A16:D16"/>
    <mergeCell ref="A14:D14"/>
    <mergeCell ref="A15:D15"/>
    <mergeCell ref="A64:D64"/>
    <mergeCell ref="A37:D37"/>
    <mergeCell ref="A20:D20"/>
    <mergeCell ref="A12:D12"/>
    <mergeCell ref="A13:D13"/>
    <mergeCell ref="I7:J7"/>
    <mergeCell ref="A17:D17"/>
    <mergeCell ref="A22:D22"/>
    <mergeCell ref="A30:D30"/>
    <mergeCell ref="A54:D54"/>
    <mergeCell ref="A55:D55"/>
    <mergeCell ref="A18:D18"/>
    <mergeCell ref="A21:D21"/>
    <mergeCell ref="A23:D23"/>
    <mergeCell ref="A25:D25"/>
    <mergeCell ref="A26:D26"/>
    <mergeCell ref="A29:D29"/>
    <mergeCell ref="A31:D31"/>
    <mergeCell ref="A32:D32"/>
    <mergeCell ref="A35:D35"/>
    <mergeCell ref="A27:D27"/>
    <mergeCell ref="A28:D28"/>
    <mergeCell ref="N7:O7"/>
    <mergeCell ref="A7:D7"/>
    <mergeCell ref="A9:D9"/>
    <mergeCell ref="A11:D11"/>
    <mergeCell ref="A19:D19"/>
    <mergeCell ref="A63:D63"/>
    <mergeCell ref="A38:D38"/>
    <mergeCell ref="A36:D36"/>
    <mergeCell ref="A56:D56"/>
    <mergeCell ref="A57:D57"/>
    <mergeCell ref="A58:D58"/>
    <mergeCell ref="A59:D59"/>
    <mergeCell ref="A60:D60"/>
  </mergeCells>
  <dataValidations count="1">
    <dataValidation allowBlank="1" showInputMessage="1" showErrorMessage="1" promptTitle="CashFlow" prompt="Ne obuhvata amortizaciju, ali obuhvata otplatu glavnice." sqref="A40"/>
  </dataValidations>
  <hyperlinks>
    <hyperlink ref="I7:J7" location="FinaIndicators!I1" display="NAZAD"/>
    <hyperlink ref="N7:O7" location="GraphFina!A1" display="DALJE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F4" sqref="F4"/>
    </sheetView>
  </sheetViews>
  <sheetFormatPr defaultRowHeight="15" x14ac:dyDescent="0.25"/>
  <sheetData>
    <row r="3" spans="1:9" ht="16.5" x14ac:dyDescent="0.35">
      <c r="F3" s="52" t="s">
        <v>136</v>
      </c>
      <c r="G3" s="52"/>
      <c r="H3" s="52"/>
      <c r="I3" s="52"/>
    </row>
    <row r="7" spans="1:9" ht="15" customHeight="1" x14ac:dyDescent="0.25">
      <c r="A7" s="54" t="s">
        <v>32</v>
      </c>
      <c r="B7" s="54"/>
      <c r="C7" s="54"/>
      <c r="D7" s="54"/>
    </row>
    <row r="8" spans="1:9" ht="15" customHeight="1" x14ac:dyDescent="0.25">
      <c r="A8" s="54"/>
      <c r="B8" s="54"/>
      <c r="C8" s="54"/>
      <c r="D8" s="54"/>
    </row>
    <row r="9" spans="1:9" x14ac:dyDescent="0.25">
      <c r="A9" s="54"/>
      <c r="B9" s="54"/>
      <c r="C9" s="54"/>
      <c r="D9" s="54"/>
    </row>
    <row r="11" spans="1:9" x14ac:dyDescent="0.25">
      <c r="A11" s="56" t="s">
        <v>114</v>
      </c>
      <c r="B11" s="56"/>
      <c r="C11" s="57" t="s">
        <v>115</v>
      </c>
      <c r="D11" s="57"/>
    </row>
    <row r="12" spans="1:9" x14ac:dyDescent="0.25">
      <c r="A12" s="56"/>
      <c r="B12" s="56"/>
      <c r="C12" s="57"/>
      <c r="D12" s="57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EconIndicators!I1" display="NAZAD"/>
    <hyperlink ref="C11:D12" location="GraphEcon!A1" display="DALJE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10</vt:i4>
      </vt:variant>
    </vt:vector>
  </HeadingPairs>
  <TitlesOfParts>
    <vt:vector size="26" baseType="lpstr">
      <vt:lpstr>Pocetna</vt:lpstr>
      <vt:lpstr>KonvFaktor</vt:lpstr>
      <vt:lpstr>PomTab1</vt:lpstr>
      <vt:lpstr>UnosPodataka</vt:lpstr>
      <vt:lpstr>EnergyCosts</vt:lpstr>
      <vt:lpstr>Annuity</vt:lpstr>
      <vt:lpstr>FinaIndicators</vt:lpstr>
      <vt:lpstr>FinInd+CO2</vt:lpstr>
      <vt:lpstr>GraphFina</vt:lpstr>
      <vt:lpstr>Graf+CO2</vt:lpstr>
      <vt:lpstr>LCoEE</vt:lpstr>
      <vt:lpstr>Osetljivost</vt:lpstr>
      <vt:lpstr>AkoESCO</vt:lpstr>
      <vt:lpstr>ESCOGrafFina</vt:lpstr>
      <vt:lpstr>REZIME</vt:lpstr>
      <vt:lpstr>Goriva</vt:lpstr>
      <vt:lpstr>CO2Tax</vt:lpstr>
      <vt:lpstr>ECOST</vt:lpstr>
      <vt:lpstr>EPROD</vt:lpstr>
      <vt:lpstr>Equity</vt:lpstr>
      <vt:lpstr>FIRR</vt:lpstr>
      <vt:lpstr>FNPV</vt:lpstr>
      <vt:lpstr>Investment</vt:lpstr>
      <vt:lpstr>LCoEE</vt:lpstr>
      <vt:lpstr>Loan</vt:lpstr>
      <vt:lpstr>PROJEKAT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2022-05-19T14:49:19Z</dcterms:created>
  <dcterms:modified xsi:type="dcterms:W3CDTF">2023-07-21T07:16:31Z</dcterms:modified>
</cp:coreProperties>
</file>