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2" activeTab="1"/>
  </bookViews>
  <sheets>
    <sheet name="Pocetna" sheetId="1" r:id="rId1"/>
    <sheet name="KonvFaktor" sheetId="21" r:id="rId2"/>
    <sheet name="PomTab1" sheetId="4" r:id="rId3"/>
    <sheet name="UnosPodataka" sheetId="2" r:id="rId4"/>
    <sheet name="Ustede" sheetId="5" r:id="rId5"/>
    <sheet name="Anuiteti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a" sheetId="19" state="hidden" r:id="rId16"/>
  </sheets>
  <externalReferences>
    <externalReference r:id="rId17"/>
  </externalReferences>
  <definedNames>
    <definedName name="CARBON">UnosPodataka!$M$13</definedName>
    <definedName name="CirkP">Ustede!$F$11</definedName>
    <definedName name="EFAKTOR">UnosPodataka!$M$23</definedName>
    <definedName name="ElEn">Ustede!$F$9</definedName>
    <definedName name="Equity">UnosPodataka!$F$26</definedName>
    <definedName name="etagrid">Ustede!#REF!</definedName>
    <definedName name="FIRR">FinaIndicators!#REF!</definedName>
    <definedName name="FNPV">FinaIndicators!#REF!</definedName>
    <definedName name="Gorivo">UnosPodataka!$M$22</definedName>
    <definedName name="HEAT">#REF!</definedName>
    <definedName name="InfRate" comment="Inflacija">0</definedName>
    <definedName name="Investment">UnosPodataka!$F$19</definedName>
    <definedName name="Kurs_EUR" comment="Obračunski kurs EUR na dan 11-4-2023">117.288</definedName>
    <definedName name="Kurs_USD" comment="Obračunski kurs USD na dan 19-5-2022">111.5072</definedName>
    <definedName name="LCOE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</workbook>
</file>

<file path=xl/calcChain.xml><?xml version="1.0" encoding="utf-8"?>
<calcChain xmlns="http://schemas.openxmlformats.org/spreadsheetml/2006/main">
  <c r="D17" i="21" l="1"/>
  <c r="D16" i="21"/>
  <c r="D15" i="21"/>
  <c r="D14" i="21"/>
  <c r="D13" i="21"/>
  <c r="D12" i="21"/>
  <c r="C18" i="21" l="1"/>
  <c r="E17" i="21"/>
  <c r="E16" i="21"/>
  <c r="E15" i="21"/>
  <c r="E14" i="21"/>
  <c r="E13" i="21"/>
  <c r="E12" i="21"/>
  <c r="E18" i="21" l="1"/>
  <c r="E21" i="21" s="1"/>
  <c r="P39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9" i="2"/>
  <c r="F14" i="5"/>
  <c r="J24" i="4"/>
  <c r="J22" i="4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6" i="9" l="1"/>
  <c r="F25" i="7"/>
  <c r="F15" i="5"/>
  <c r="F10" i="12" l="1"/>
  <c r="G10" i="12" s="1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F25" i="9"/>
  <c r="G9" i="9"/>
  <c r="E12" i="9"/>
  <c r="F24" i="7"/>
  <c r="G9" i="7"/>
  <c r="E12" i="7"/>
  <c r="F26" i="7" l="1"/>
  <c r="F27" i="9"/>
  <c r="G27" i="9"/>
  <c r="G26" i="7"/>
  <c r="E10" i="16"/>
  <c r="F12" i="12"/>
  <c r="H9" i="9"/>
  <c r="G26" i="9"/>
  <c r="G24" i="7"/>
  <c r="G25" i="7"/>
  <c r="G17" i="9"/>
  <c r="G28" i="9" s="1"/>
  <c r="G25" i="9"/>
  <c r="F17" i="7"/>
  <c r="F14" i="9"/>
  <c r="F17" i="9"/>
  <c r="F28" i="9" s="1"/>
  <c r="F14" i="7"/>
  <c r="F16" i="12" s="1"/>
  <c r="G14" i="9"/>
  <c r="H9" i="7"/>
  <c r="G14" i="7"/>
  <c r="G16" i="12" s="1"/>
  <c r="G17" i="7"/>
  <c r="H27" i="9" l="1"/>
  <c r="H25" i="9"/>
  <c r="H26" i="7"/>
  <c r="H17" i="9"/>
  <c r="H28" i="9" s="1"/>
  <c r="H14" i="9"/>
  <c r="I9" i="9"/>
  <c r="H26" i="9"/>
  <c r="H25" i="7"/>
  <c r="I9" i="7"/>
  <c r="H24" i="7"/>
  <c r="H17" i="7"/>
  <c r="H14" i="7"/>
  <c r="H16" i="12" s="1"/>
  <c r="I27" i="9" l="1"/>
  <c r="I26" i="7"/>
  <c r="J9" i="9"/>
  <c r="I26" i="9"/>
  <c r="I25" i="9"/>
  <c r="I17" i="9"/>
  <c r="I28" i="9" s="1"/>
  <c r="I14" i="9"/>
  <c r="I25" i="7"/>
  <c r="J9" i="7"/>
  <c r="I17" i="7"/>
  <c r="I14" i="7"/>
  <c r="I16" i="12" s="1"/>
  <c r="I24" i="7"/>
  <c r="J27" i="9" l="1"/>
  <c r="J26" i="7"/>
  <c r="K9" i="9"/>
  <c r="J26" i="9"/>
  <c r="J25" i="9"/>
  <c r="J17" i="9"/>
  <c r="J28" i="9" s="1"/>
  <c r="J14" i="9"/>
  <c r="J25" i="7"/>
  <c r="K9" i="7"/>
  <c r="J24" i="7"/>
  <c r="J17" i="7"/>
  <c r="J14" i="7"/>
  <c r="J16" i="12" s="1"/>
  <c r="K27" i="9" l="1"/>
  <c r="K26" i="7"/>
  <c r="L9" i="9"/>
  <c r="K26" i="9"/>
  <c r="K25" i="9"/>
  <c r="K17" i="9"/>
  <c r="K28" i="9" s="1"/>
  <c r="K14" i="9"/>
  <c r="K25" i="7"/>
  <c r="L9" i="7"/>
  <c r="K24" i="7"/>
  <c r="K17" i="7"/>
  <c r="K14" i="7"/>
  <c r="K16" i="12" s="1"/>
  <c r="L27" i="9" l="1"/>
  <c r="L26" i="7"/>
  <c r="M9" i="9"/>
  <c r="L26" i="9"/>
  <c r="L17" i="9"/>
  <c r="L28" i="9" s="1"/>
  <c r="L14" i="9"/>
  <c r="L25" i="9"/>
  <c r="L25" i="7"/>
  <c r="M9" i="7"/>
  <c r="L24" i="7"/>
  <c r="L17" i="7"/>
  <c r="L14" i="7"/>
  <c r="L16" i="12" s="1"/>
  <c r="M27" i="9" l="1"/>
  <c r="M26" i="7"/>
  <c r="N9" i="9"/>
  <c r="M26" i="9"/>
  <c r="M25" i="9"/>
  <c r="M14" i="9"/>
  <c r="M17" i="9"/>
  <c r="M28" i="9" s="1"/>
  <c r="M25" i="7"/>
  <c r="N9" i="7"/>
  <c r="M24" i="7"/>
  <c r="M17" i="7"/>
  <c r="M14" i="7"/>
  <c r="M16" i="12" s="1"/>
  <c r="N27" i="9" l="1"/>
  <c r="N26" i="7"/>
  <c r="O9" i="9"/>
  <c r="N26" i="9"/>
  <c r="N25" i="9"/>
  <c r="N22" i="9"/>
  <c r="N14" i="9"/>
  <c r="N17" i="9"/>
  <c r="N28" i="9" s="1"/>
  <c r="N25" i="7"/>
  <c r="O9" i="7"/>
  <c r="N24" i="7"/>
  <c r="N17" i="7"/>
  <c r="N14" i="7"/>
  <c r="N16" i="12" s="1"/>
  <c r="N21" i="7"/>
  <c r="O27" i="9" l="1"/>
  <c r="O26" i="7"/>
  <c r="P9" i="9"/>
  <c r="O26" i="9"/>
  <c r="O14" i="9"/>
  <c r="O22" i="9"/>
  <c r="O25" i="9"/>
  <c r="O17" i="9"/>
  <c r="O28" i="9" s="1"/>
  <c r="O25" i="7"/>
  <c r="P9" i="7"/>
  <c r="O24" i="7"/>
  <c r="O21" i="7"/>
  <c r="O17" i="7"/>
  <c r="O14" i="7"/>
  <c r="O16" i="12" s="1"/>
  <c r="P27" i="9" l="1"/>
  <c r="P26" i="7"/>
  <c r="Q9" i="9"/>
  <c r="P26" i="9"/>
  <c r="P14" i="9"/>
  <c r="P17" i="9"/>
  <c r="P28" i="9" s="1"/>
  <c r="P25" i="9"/>
  <c r="P22" i="9"/>
  <c r="P25" i="7"/>
  <c r="Q9" i="7"/>
  <c r="P24" i="7"/>
  <c r="P21" i="7"/>
  <c r="P17" i="7"/>
  <c r="P14" i="7"/>
  <c r="P16" i="12" s="1"/>
  <c r="Q27" i="9" l="1"/>
  <c r="Q26" i="7"/>
  <c r="R9" i="9"/>
  <c r="Q26" i="9"/>
  <c r="Q22" i="9"/>
  <c r="Q25" i="9"/>
  <c r="Q17" i="9"/>
  <c r="Q28" i="9" s="1"/>
  <c r="Q14" i="9"/>
  <c r="Q25" i="7"/>
  <c r="R9" i="7"/>
  <c r="Q24" i="7"/>
  <c r="Q17" i="7"/>
  <c r="Q14" i="7"/>
  <c r="Q16" i="12" s="1"/>
  <c r="Q21" i="7"/>
  <c r="R27" i="9" l="1"/>
  <c r="R26" i="7"/>
  <c r="S9" i="9"/>
  <c r="R26" i="9"/>
  <c r="R25" i="9"/>
  <c r="R17" i="9"/>
  <c r="R28" i="9" s="1"/>
  <c r="R14" i="9"/>
  <c r="R22" i="9"/>
  <c r="R25" i="7"/>
  <c r="S9" i="7"/>
  <c r="R24" i="7"/>
  <c r="R17" i="7"/>
  <c r="R14" i="7"/>
  <c r="R16" i="12" s="1"/>
  <c r="R21" i="7"/>
  <c r="S27" i="9" l="1"/>
  <c r="S26" i="7"/>
  <c r="T9" i="9"/>
  <c r="S26" i="9"/>
  <c r="S22" i="9"/>
  <c r="S14" i="9"/>
  <c r="S25" i="9"/>
  <c r="S17" i="9"/>
  <c r="S28" i="9" s="1"/>
  <c r="S25" i="7"/>
  <c r="T9" i="7"/>
  <c r="S24" i="7"/>
  <c r="S21" i="7"/>
  <c r="S17" i="7"/>
  <c r="S14" i="7"/>
  <c r="S16" i="12" s="1"/>
  <c r="T27" i="9" l="1"/>
  <c r="T26" i="7"/>
  <c r="U9" i="9"/>
  <c r="T26" i="9"/>
  <c r="T17" i="9"/>
  <c r="T28" i="9" s="1"/>
  <c r="T14" i="9"/>
  <c r="T25" i="9"/>
  <c r="T22" i="9"/>
  <c r="T25" i="7"/>
  <c r="U9" i="7"/>
  <c r="T24" i="7"/>
  <c r="T21" i="7"/>
  <c r="T17" i="7"/>
  <c r="T14" i="7"/>
  <c r="T16" i="12" s="1"/>
  <c r="U27" i="9" l="1"/>
  <c r="U26" i="7"/>
  <c r="V9" i="9"/>
  <c r="U26" i="9"/>
  <c r="U22" i="9"/>
  <c r="U14" i="9"/>
  <c r="U25" i="9"/>
  <c r="U17" i="9"/>
  <c r="U28" i="9" s="1"/>
  <c r="U25" i="7"/>
  <c r="V9" i="7"/>
  <c r="U21" i="7"/>
  <c r="U24" i="7"/>
  <c r="U17" i="7"/>
  <c r="U14" i="7"/>
  <c r="U16" i="12" s="1"/>
  <c r="V27" i="9" l="1"/>
  <c r="V26" i="7"/>
  <c r="W9" i="9"/>
  <c r="V26" i="9"/>
  <c r="V25" i="9"/>
  <c r="V22" i="9"/>
  <c r="V14" i="9"/>
  <c r="V17" i="9"/>
  <c r="V28" i="9" s="1"/>
  <c r="V25" i="7"/>
  <c r="W9" i="7"/>
  <c r="V24" i="7"/>
  <c r="V17" i="7"/>
  <c r="V14" i="7"/>
  <c r="V16" i="12" s="1"/>
  <c r="V21" i="7"/>
  <c r="W27" i="9" l="1"/>
  <c r="W26" i="7"/>
  <c r="X9" i="9"/>
  <c r="W26" i="9"/>
  <c r="W14" i="9"/>
  <c r="W22" i="9"/>
  <c r="W25" i="9"/>
  <c r="W17" i="9"/>
  <c r="W28" i="9" s="1"/>
  <c r="W25" i="7"/>
  <c r="X9" i="7"/>
  <c r="W24" i="7"/>
  <c r="W21" i="7"/>
  <c r="W17" i="7"/>
  <c r="W14" i="7"/>
  <c r="W16" i="12" s="1"/>
  <c r="X27" i="9" l="1"/>
  <c r="X26" i="7"/>
  <c r="Y9" i="9"/>
  <c r="X26" i="9"/>
  <c r="X25" i="9"/>
  <c r="X14" i="9"/>
  <c r="X22" i="9"/>
  <c r="X17" i="9"/>
  <c r="X28" i="9" s="1"/>
  <c r="X25" i="7"/>
  <c r="Y9" i="7"/>
  <c r="X24" i="7"/>
  <c r="X21" i="7"/>
  <c r="X17" i="7"/>
  <c r="X14" i="7"/>
  <c r="X16" i="12" s="1"/>
  <c r="Y27" i="9" l="1"/>
  <c r="Y26" i="7"/>
  <c r="Y26" i="9"/>
  <c r="Y22" i="9"/>
  <c r="Y25" i="9"/>
  <c r="Y17" i="9"/>
  <c r="Y28" i="9" s="1"/>
  <c r="Y14" i="9"/>
  <c r="Y25" i="7"/>
  <c r="Y17" i="7"/>
  <c r="Y14" i="7"/>
  <c r="Y16" i="12" s="1"/>
  <c r="Y24" i="7"/>
  <c r="Y21" i="7"/>
  <c r="F24" i="9" l="1"/>
  <c r="G24" i="9" l="1"/>
  <c r="H24" i="9" l="1"/>
  <c r="I24" i="9"/>
  <c r="J24" i="9" l="1"/>
  <c r="K24" i="9" l="1"/>
  <c r="L24" i="9" l="1"/>
  <c r="M24" i="9" l="1"/>
  <c r="N24" i="9" l="1"/>
  <c r="N29" i="9" s="1"/>
  <c r="O24" i="9" l="1"/>
  <c r="O29" i="9" s="1"/>
  <c r="P24" i="9" l="1"/>
  <c r="P29" i="9" s="1"/>
  <c r="Q24" i="9" l="1"/>
  <c r="Q29" i="9" s="1"/>
  <c r="R24" i="9" l="1"/>
  <c r="R29" i="9" s="1"/>
  <c r="S24" i="9" l="1"/>
  <c r="S29" i="9" s="1"/>
  <c r="T24" i="9" l="1"/>
  <c r="T29" i="9" s="1"/>
  <c r="U24" i="9" l="1"/>
  <c r="U29" i="9" s="1"/>
  <c r="V24" i="9" l="1"/>
  <c r="V29" i="9" s="1"/>
  <c r="W24" i="9" l="1"/>
  <c r="W29" i="9" s="1"/>
  <c r="X24" i="9" l="1"/>
  <c r="X29" i="9" s="1"/>
  <c r="Y24" i="9" l="1"/>
  <c r="Y29" i="9" s="1"/>
  <c r="F23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3" i="7" l="1"/>
  <c r="H23" i="7" l="1"/>
  <c r="I23" i="7" l="1"/>
  <c r="J23" i="7" l="1"/>
  <c r="K23" i="7" l="1"/>
  <c r="L23" i="7" l="1"/>
  <c r="M23" i="7" l="1"/>
  <c r="N23" i="7" l="1"/>
  <c r="O23" i="7" l="1"/>
  <c r="P23" i="7" l="1"/>
  <c r="Q23" i="7" l="1"/>
  <c r="R18" i="7" l="1"/>
  <c r="R23" i="7"/>
  <c r="O18" i="7"/>
  <c r="J18" i="7"/>
  <c r="K18" i="7"/>
  <c r="G18" i="7"/>
  <c r="Q18" i="7"/>
  <c r="P18" i="7"/>
  <c r="F18" i="7"/>
  <c r="M18" i="7"/>
  <c r="L18" i="7"/>
  <c r="N18" i="7"/>
  <c r="I18" i="7"/>
  <c r="H18" i="7"/>
  <c r="F27" i="2"/>
  <c r="B25" i="4"/>
  <c r="F52" i="7" l="1"/>
  <c r="R27" i="7"/>
  <c r="R28" i="7" s="1"/>
  <c r="H52" i="7"/>
  <c r="H27" i="7"/>
  <c r="G52" i="7"/>
  <c r="G27" i="7"/>
  <c r="I52" i="7"/>
  <c r="I27" i="7"/>
  <c r="F27" i="7"/>
  <c r="K52" i="7"/>
  <c r="K27" i="7"/>
  <c r="L52" i="7"/>
  <c r="L27" i="7"/>
  <c r="Q52" i="7"/>
  <c r="Q27" i="7"/>
  <c r="O52" i="7"/>
  <c r="O27" i="7"/>
  <c r="M52" i="7"/>
  <c r="M27" i="7"/>
  <c r="N52" i="7"/>
  <c r="N27" i="7"/>
  <c r="P52" i="7"/>
  <c r="P27" i="7"/>
  <c r="J52" i="7"/>
  <c r="J27" i="7"/>
  <c r="R52" i="7"/>
  <c r="S23" i="7"/>
  <c r="F29" i="2"/>
  <c r="J23" i="4" s="1"/>
  <c r="R12" i="14" l="1"/>
  <c r="R13" i="14" s="1"/>
  <c r="R31" i="7"/>
  <c r="R33" i="7" s="1"/>
  <c r="R34" i="7" s="1"/>
  <c r="J25" i="4"/>
  <c r="O28" i="7"/>
  <c r="O12" i="14"/>
  <c r="O13" i="14" s="1"/>
  <c r="L12" i="14"/>
  <c r="L13" i="14" s="1"/>
  <c r="F12" i="14"/>
  <c r="G12" i="14"/>
  <c r="G13" i="14" s="1"/>
  <c r="J12" i="14"/>
  <c r="J13" i="14" s="1"/>
  <c r="N28" i="7"/>
  <c r="N12" i="14"/>
  <c r="N13" i="14" s="1"/>
  <c r="E13" i="16"/>
  <c r="E11" i="16"/>
  <c r="M12" i="14"/>
  <c r="M13" i="14" s="1"/>
  <c r="Q28" i="7"/>
  <c r="Q12" i="14"/>
  <c r="Q13" i="14" s="1"/>
  <c r="K12" i="14"/>
  <c r="K13" i="14" s="1"/>
  <c r="I12" i="14"/>
  <c r="I13" i="14" s="1"/>
  <c r="H12" i="14"/>
  <c r="H13" i="14" s="1"/>
  <c r="P28" i="7"/>
  <c r="P12" i="14"/>
  <c r="P13" i="14" s="1"/>
  <c r="E9" i="6"/>
  <c r="E11" i="7"/>
  <c r="E30" i="7" s="1"/>
  <c r="E49" i="7" s="1"/>
  <c r="E11" i="9"/>
  <c r="E31" i="9" s="1"/>
  <c r="E50" i="9" s="1"/>
  <c r="S18" i="7"/>
  <c r="T18" i="7"/>
  <c r="T23" i="7"/>
  <c r="R30" i="7" l="1"/>
  <c r="R36" i="7" s="1"/>
  <c r="R13" i="12"/>
  <c r="E37" i="9"/>
  <c r="E36" i="7"/>
  <c r="N31" i="7"/>
  <c r="S27" i="7"/>
  <c r="S28" i="7" s="1"/>
  <c r="T27" i="7"/>
  <c r="T28" i="7" s="1"/>
  <c r="P31" i="7"/>
  <c r="O31" i="7"/>
  <c r="Q31" i="7"/>
  <c r="K22" i="4"/>
  <c r="K25" i="4" s="1"/>
  <c r="F13" i="14"/>
  <c r="T52" i="7"/>
  <c r="S52" i="7"/>
  <c r="U23" i="7"/>
  <c r="E40" i="9" l="1"/>
  <c r="E41" i="9" s="1"/>
  <c r="E42" i="9" s="1"/>
  <c r="E39" i="7"/>
  <c r="S53" i="7" s="1"/>
  <c r="R49" i="7"/>
  <c r="T31" i="7"/>
  <c r="T33" i="7" s="1"/>
  <c r="T30" i="7" s="1"/>
  <c r="E38" i="9"/>
  <c r="E37" i="7"/>
  <c r="T12" i="14"/>
  <c r="T13" i="14" s="1"/>
  <c r="S31" i="7"/>
  <c r="Q33" i="7"/>
  <c r="S12" i="14"/>
  <c r="S13" i="14" s="1"/>
  <c r="N33" i="7"/>
  <c r="P33" i="7"/>
  <c r="O33" i="7"/>
  <c r="U18" i="7"/>
  <c r="E16" i="6"/>
  <c r="E58" i="7"/>
  <c r="V18" i="7"/>
  <c r="V23" i="7"/>
  <c r="F53" i="7" l="1"/>
  <c r="F54" i="7" s="1"/>
  <c r="Q53" i="7"/>
  <c r="O53" i="7"/>
  <c r="R53" i="7"/>
  <c r="K53" i="7"/>
  <c r="L53" i="7"/>
  <c r="P53" i="7"/>
  <c r="I53" i="7"/>
  <c r="J53" i="7"/>
  <c r="G53" i="7"/>
  <c r="M53" i="7"/>
  <c r="H53" i="7"/>
  <c r="N53" i="7"/>
  <c r="E50" i="7"/>
  <c r="E51" i="7" s="1"/>
  <c r="E40" i="7"/>
  <c r="E41" i="7" s="1"/>
  <c r="R50" i="7"/>
  <c r="E51" i="9"/>
  <c r="E52" i="9" s="1"/>
  <c r="E59" i="9" s="1"/>
  <c r="T53" i="7"/>
  <c r="R40" i="7"/>
  <c r="O30" i="7"/>
  <c r="O49" i="7" s="1"/>
  <c r="O50" i="7" s="1"/>
  <c r="O13" i="12"/>
  <c r="T13" i="12"/>
  <c r="P30" i="7"/>
  <c r="P36" i="7" s="1"/>
  <c r="P40" i="7" s="1"/>
  <c r="P13" i="12"/>
  <c r="Q30" i="7"/>
  <c r="Q49" i="7" s="1"/>
  <c r="Q50" i="7" s="1"/>
  <c r="Q13" i="12"/>
  <c r="N30" i="7"/>
  <c r="N36" i="7" s="1"/>
  <c r="N40" i="7" s="1"/>
  <c r="N13" i="12"/>
  <c r="T36" i="7"/>
  <c r="T40" i="7" s="1"/>
  <c r="T49" i="7"/>
  <c r="T50" i="7" s="1"/>
  <c r="Q34" i="7"/>
  <c r="P34" i="7"/>
  <c r="T34" i="7"/>
  <c r="O34" i="7"/>
  <c r="S33" i="7"/>
  <c r="N34" i="7"/>
  <c r="U52" i="7"/>
  <c r="U53" i="7" s="1"/>
  <c r="U27" i="7"/>
  <c r="V52" i="7"/>
  <c r="V53" i="7" s="1"/>
  <c r="V27" i="7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E22" i="6"/>
  <c r="E17" i="6"/>
  <c r="E18" i="6"/>
  <c r="E19" i="6"/>
  <c r="E21" i="6"/>
  <c r="E23" i="6"/>
  <c r="E20" i="6"/>
  <c r="W23" i="7"/>
  <c r="O36" i="7" l="1"/>
  <c r="O40" i="7" s="1"/>
  <c r="G54" i="7"/>
  <c r="F59" i="7"/>
  <c r="Q36" i="7"/>
  <c r="Q40" i="7" s="1"/>
  <c r="N49" i="7"/>
  <c r="N50" i="7" s="1"/>
  <c r="P49" i="7"/>
  <c r="P50" i="7" s="1"/>
  <c r="S30" i="7"/>
  <c r="S36" i="7" s="1"/>
  <c r="S40" i="7" s="1"/>
  <c r="S13" i="12"/>
  <c r="S34" i="7"/>
  <c r="U28" i="7"/>
  <c r="U12" i="14"/>
  <c r="V28" i="7"/>
  <c r="V12" i="14"/>
  <c r="V13" i="14" s="1"/>
  <c r="F21" i="7"/>
  <c r="F22" i="9"/>
  <c r="W18" i="7"/>
  <c r="C14" i="6"/>
  <c r="D14" i="6" s="1"/>
  <c r="X23" i="7"/>
  <c r="H54" i="7" l="1"/>
  <c r="G59" i="7"/>
  <c r="S49" i="7"/>
  <c r="S50" i="7" s="1"/>
  <c r="V31" i="7"/>
  <c r="U31" i="7"/>
  <c r="W52" i="7"/>
  <c r="W53" i="7" s="1"/>
  <c r="W27" i="7"/>
  <c r="F29" i="9"/>
  <c r="U13" i="14"/>
  <c r="G22" i="9"/>
  <c r="G21" i="7"/>
  <c r="C15" i="6"/>
  <c r="D15" i="6" s="1"/>
  <c r="X18" i="7"/>
  <c r="Y23" i="7"/>
  <c r="I54" i="7" l="1"/>
  <c r="H59" i="7"/>
  <c r="U33" i="7"/>
  <c r="V33" i="7"/>
  <c r="X52" i="7"/>
  <c r="X53" i="7" s="1"/>
  <c r="X27" i="7"/>
  <c r="G28" i="7"/>
  <c r="W28" i="7"/>
  <c r="W12" i="14"/>
  <c r="G29" i="9"/>
  <c r="C16" i="6"/>
  <c r="D16" i="6" s="1"/>
  <c r="H22" i="9"/>
  <c r="H21" i="7"/>
  <c r="Y18" i="7"/>
  <c r="C17" i="6"/>
  <c r="D17" i="6" s="1"/>
  <c r="I59" i="7" l="1"/>
  <c r="J54" i="7"/>
  <c r="U30" i="7"/>
  <c r="U36" i="7" s="1"/>
  <c r="U40" i="7" s="1"/>
  <c r="U13" i="12"/>
  <c r="V30" i="7"/>
  <c r="V49" i="7" s="1"/>
  <c r="V50" i="7" s="1"/>
  <c r="V13" i="12"/>
  <c r="H29" i="9"/>
  <c r="V34" i="7"/>
  <c r="U34" i="7"/>
  <c r="W31" i="7"/>
  <c r="Y27" i="7"/>
  <c r="Y28" i="7" s="1"/>
  <c r="G31" i="7"/>
  <c r="H28" i="7"/>
  <c r="W13" i="14"/>
  <c r="X28" i="7"/>
  <c r="X12" i="14"/>
  <c r="X13" i="14" s="1"/>
  <c r="J22" i="9"/>
  <c r="J29" i="9" s="1"/>
  <c r="J21" i="7"/>
  <c r="I22" i="9"/>
  <c r="I21" i="7"/>
  <c r="Y52" i="7"/>
  <c r="Y53" i="7" s="1"/>
  <c r="C18" i="6"/>
  <c r="D18" i="6" s="1"/>
  <c r="U49" i="7" l="1"/>
  <c r="U50" i="7" s="1"/>
  <c r="K54" i="7"/>
  <c r="J59" i="7"/>
  <c r="V36" i="7"/>
  <c r="V40" i="7" s="1"/>
  <c r="Y12" i="14"/>
  <c r="Y13" i="14" s="1"/>
  <c r="Y31" i="7"/>
  <c r="X31" i="7"/>
  <c r="W33" i="7"/>
  <c r="H31" i="7"/>
  <c r="G33" i="7"/>
  <c r="I28" i="7"/>
  <c r="I29" i="9"/>
  <c r="J28" i="7"/>
  <c r="K22" i="9"/>
  <c r="K29" i="9" s="1"/>
  <c r="K21" i="7"/>
  <c r="C19" i="6"/>
  <c r="D19" i="6" s="1"/>
  <c r="L54" i="7" l="1"/>
  <c r="K59" i="7"/>
  <c r="E15" i="14"/>
  <c r="G30" i="7"/>
  <c r="G36" i="7" s="1"/>
  <c r="G40" i="7" s="1"/>
  <c r="G13" i="12"/>
  <c r="G14" i="12" s="1"/>
  <c r="W30" i="7"/>
  <c r="W49" i="7" s="1"/>
  <c r="W50" i="7" s="1"/>
  <c r="W13" i="12"/>
  <c r="J31" i="7"/>
  <c r="H33" i="7"/>
  <c r="I31" i="7"/>
  <c r="W34" i="7"/>
  <c r="Y33" i="7"/>
  <c r="X33" i="7"/>
  <c r="G34" i="7"/>
  <c r="K28" i="7"/>
  <c r="L22" i="9"/>
  <c r="L29" i="9" s="1"/>
  <c r="L21" i="7"/>
  <c r="C20" i="6"/>
  <c r="D20" i="6" s="1"/>
  <c r="M54" i="7" l="1"/>
  <c r="L59" i="7"/>
  <c r="G49" i="7"/>
  <c r="G50" i="7" s="1"/>
  <c r="W36" i="7"/>
  <c r="W40" i="7" s="1"/>
  <c r="Y30" i="7"/>
  <c r="Y49" i="7" s="1"/>
  <c r="Y50" i="7" s="1"/>
  <c r="Y13" i="12"/>
  <c r="X30" i="7"/>
  <c r="X36" i="7" s="1"/>
  <c r="X40" i="7" s="1"/>
  <c r="X13" i="12"/>
  <c r="H30" i="7"/>
  <c r="H49" i="7" s="1"/>
  <c r="H50" i="7" s="1"/>
  <c r="H13" i="12"/>
  <c r="H14" i="12" s="1"/>
  <c r="X34" i="7"/>
  <c r="H34" i="7"/>
  <c r="I33" i="7"/>
  <c r="J33" i="7"/>
  <c r="K31" i="7"/>
  <c r="Y34" i="7"/>
  <c r="L28" i="7"/>
  <c r="M22" i="9"/>
  <c r="M29" i="9" s="1"/>
  <c r="M21" i="7"/>
  <c r="C21" i="6"/>
  <c r="D21" i="6" s="1"/>
  <c r="H36" i="7" l="1"/>
  <c r="H40" i="7" s="1"/>
  <c r="N54" i="7"/>
  <c r="M59" i="7"/>
  <c r="Y36" i="7"/>
  <c r="Y40" i="7" s="1"/>
  <c r="X49" i="7"/>
  <c r="X50" i="7" s="1"/>
  <c r="J30" i="7"/>
  <c r="J36" i="7" s="1"/>
  <c r="J40" i="7" s="1"/>
  <c r="J13" i="12"/>
  <c r="J14" i="12" s="1"/>
  <c r="I30" i="7"/>
  <c r="I36" i="7" s="1"/>
  <c r="I40" i="7" s="1"/>
  <c r="I13" i="12"/>
  <c r="I14" i="12" s="1"/>
  <c r="I34" i="7"/>
  <c r="L31" i="7"/>
  <c r="K33" i="7"/>
  <c r="J34" i="7"/>
  <c r="M28" i="7"/>
  <c r="C22" i="6"/>
  <c r="D22" i="6" s="1"/>
  <c r="O54" i="7" l="1"/>
  <c r="N59" i="7"/>
  <c r="I49" i="7"/>
  <c r="I50" i="7" s="1"/>
  <c r="J49" i="7"/>
  <c r="J50" i="7" s="1"/>
  <c r="K30" i="7"/>
  <c r="K49" i="7" s="1"/>
  <c r="K50" i="7" s="1"/>
  <c r="K13" i="12"/>
  <c r="K14" i="12" s="1"/>
  <c r="L33" i="7"/>
  <c r="M31" i="7"/>
  <c r="K34" i="7"/>
  <c r="N14" i="12"/>
  <c r="C23" i="6"/>
  <c r="P54" i="7" l="1"/>
  <c r="O59" i="7"/>
  <c r="K36" i="7"/>
  <c r="K40" i="7" s="1"/>
  <c r="L30" i="7"/>
  <c r="L36" i="7" s="1"/>
  <c r="L13" i="12"/>
  <c r="L14" i="12" s="1"/>
  <c r="L34" i="7"/>
  <c r="M33" i="7"/>
  <c r="O14" i="12"/>
  <c r="D23" i="6"/>
  <c r="Q54" i="7" l="1"/>
  <c r="P59" i="7"/>
  <c r="L49" i="7"/>
  <c r="L50" i="7" s="1"/>
  <c r="L40" i="7"/>
  <c r="M30" i="7"/>
  <c r="M36" i="7" s="1"/>
  <c r="M13" i="12"/>
  <c r="M14" i="12" s="1"/>
  <c r="M34" i="7"/>
  <c r="C24" i="6"/>
  <c r="R54" i="7" l="1"/>
  <c r="S54" i="7" s="1"/>
  <c r="Q59" i="7"/>
  <c r="M49" i="7"/>
  <c r="M50" i="7" s="1"/>
  <c r="M40" i="7"/>
  <c r="P14" i="12"/>
  <c r="D24" i="6"/>
  <c r="R59" i="7" l="1"/>
  <c r="T54" i="7"/>
  <c r="S59" i="7"/>
  <c r="C25" i="6"/>
  <c r="D25" i="6" s="1"/>
  <c r="T59" i="7" l="1"/>
  <c r="U54" i="7"/>
  <c r="Q14" i="12"/>
  <c r="C26" i="6"/>
  <c r="D26" i="6"/>
  <c r="U59" i="7" l="1"/>
  <c r="V54" i="7"/>
  <c r="R14" i="12"/>
  <c r="C27" i="6"/>
  <c r="D27" i="6" s="1"/>
  <c r="V59" i="7" l="1"/>
  <c r="W54" i="7"/>
  <c r="S14" i="12"/>
  <c r="C28" i="6"/>
  <c r="X54" i="7" l="1"/>
  <c r="W59" i="7"/>
  <c r="T14" i="12"/>
  <c r="D28" i="6"/>
  <c r="Y54" i="7" l="1"/>
  <c r="Y59" i="7" s="1"/>
  <c r="X59" i="7"/>
  <c r="C29" i="6"/>
  <c r="U14" i="12" l="1"/>
  <c r="D29" i="6"/>
  <c r="C30" i="6" l="1"/>
  <c r="D30" i="6" s="1"/>
  <c r="V14" i="12" l="1"/>
  <c r="C31" i="6"/>
  <c r="D31" i="6" s="1"/>
  <c r="W14" i="12" l="1"/>
  <c r="C32" i="6"/>
  <c r="D32" i="6" s="1"/>
  <c r="X14" i="12" l="1"/>
  <c r="Y14" i="12" l="1"/>
  <c r="F28" i="7" l="1"/>
  <c r="F31" i="7" l="1"/>
  <c r="F33" i="7" l="1"/>
  <c r="F34" i="7"/>
  <c r="F13" i="12" l="1"/>
  <c r="F14" i="12" s="1"/>
  <c r="F30" i="7"/>
  <c r="E45" i="7" l="1" a="1"/>
  <c r="E45" i="7" s="1"/>
  <c r="F49" i="7"/>
  <c r="F50" i="7" s="1"/>
  <c r="F51" i="7" s="1"/>
  <c r="F36" i="7"/>
  <c r="E19" i="12"/>
  <c r="E14" i="16" s="1"/>
  <c r="F40" i="7" l="1"/>
  <c r="F41" i="7" s="1"/>
  <c r="E43" i="7"/>
  <c r="E44" i="7"/>
  <c r="F37" i="7"/>
  <c r="F55" i="7"/>
  <c r="G51" i="7"/>
  <c r="F58" i="7"/>
  <c r="E16" i="16" l="1"/>
  <c r="C35" i="13"/>
  <c r="G55" i="7"/>
  <c r="H51" i="7"/>
  <c r="G58" i="7"/>
  <c r="B35" i="13"/>
  <c r="E15" i="16"/>
  <c r="G37" i="7"/>
  <c r="H37" i="7" s="1"/>
  <c r="I37" i="7" s="1"/>
  <c r="J37" i="7" s="1"/>
  <c r="K37" i="7" s="1"/>
  <c r="L37" i="7" s="1"/>
  <c r="M37" i="7" s="1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G41" i="7"/>
  <c r="H41" i="7" s="1"/>
  <c r="I41" i="7" s="1"/>
  <c r="J41" i="7" s="1"/>
  <c r="K41" i="7" s="1"/>
  <c r="L41" i="7" s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Y41" i="7" s="1"/>
  <c r="E47" i="7" l="1" a="1"/>
  <c r="E47" i="7" s="1"/>
  <c r="H58" i="7"/>
  <c r="I51" i="7"/>
  <c r="H55" i="7"/>
  <c r="E46" i="7" a="1"/>
  <c r="E46" i="7" s="1"/>
  <c r="J51" i="7" l="1"/>
  <c r="I55" i="7"/>
  <c r="I58" i="7"/>
  <c r="J55" i="7" l="1"/>
  <c r="J58" i="7"/>
  <c r="K51" i="7"/>
  <c r="K58" i="7" l="1"/>
  <c r="L51" i="7"/>
  <c r="K55" i="7"/>
  <c r="L58" i="7" l="1"/>
  <c r="L55" i="7"/>
  <c r="M51" i="7"/>
  <c r="M55" i="7" l="1"/>
  <c r="N51" i="7"/>
  <c r="M58" i="7"/>
  <c r="N58" i="7" l="1"/>
  <c r="N55" i="7"/>
  <c r="O51" i="7"/>
  <c r="O55" i="7" l="1"/>
  <c r="P51" i="7"/>
  <c r="O58" i="7"/>
  <c r="P58" i="7" l="1"/>
  <c r="P55" i="7"/>
  <c r="Q51" i="7"/>
  <c r="R51" i="7" l="1"/>
  <c r="Q55" i="7"/>
  <c r="Q58" i="7"/>
  <c r="R58" i="7" l="1"/>
  <c r="R55" i="7"/>
  <c r="S51" i="7"/>
  <c r="S58" i="7" l="1"/>
  <c r="T51" i="7"/>
  <c r="S55" i="7"/>
  <c r="T58" i="7" l="1"/>
  <c r="T55" i="7"/>
  <c r="U51" i="7"/>
  <c r="V51" i="7" l="1"/>
  <c r="U58" i="7"/>
  <c r="U55" i="7"/>
  <c r="V58" i="7" l="1"/>
  <c r="V55" i="7"/>
  <c r="W51" i="7"/>
  <c r="W55" i="7" l="1"/>
  <c r="X51" i="7"/>
  <c r="W58" i="7"/>
  <c r="X58" i="7" l="1"/>
  <c r="X55" i="7"/>
  <c r="Y51" i="7"/>
  <c r="Y55" i="7" l="1"/>
  <c r="Y58" i="7"/>
  <c r="M23" i="2" l="1"/>
  <c r="F16" i="5" l="1"/>
  <c r="F17" i="12"/>
  <c r="J17" i="12"/>
  <c r="N17" i="12"/>
  <c r="R17" i="12"/>
  <c r="V17" i="12"/>
  <c r="G17" i="12"/>
  <c r="K17" i="12"/>
  <c r="O17" i="12"/>
  <c r="S17" i="12"/>
  <c r="W17" i="12"/>
  <c r="H17" i="12"/>
  <c r="L17" i="12"/>
  <c r="P17" i="12"/>
  <c r="T17" i="12"/>
  <c r="X17" i="12"/>
  <c r="I17" i="12"/>
  <c r="M17" i="12"/>
  <c r="Q17" i="12"/>
  <c r="U17" i="12"/>
  <c r="Y17" i="12"/>
  <c r="E20" i="12" l="1"/>
  <c r="T18" i="9"/>
  <c r="T19" i="9" s="1"/>
  <c r="W18" i="9"/>
  <c r="W19" i="9" s="1"/>
  <c r="H18" i="9"/>
  <c r="H19" i="9" s="1"/>
  <c r="M18" i="9"/>
  <c r="M19" i="9" s="1"/>
  <c r="O18" i="9"/>
  <c r="O19" i="9" s="1"/>
  <c r="X18" i="9"/>
  <c r="X19" i="9" s="1"/>
  <c r="L18" i="9"/>
  <c r="L19" i="9" s="1"/>
  <c r="J18" i="9"/>
  <c r="J19" i="9" s="1"/>
  <c r="P18" i="9"/>
  <c r="P19" i="9" s="1"/>
  <c r="V18" i="9"/>
  <c r="V19" i="9" s="1"/>
  <c r="S18" i="9"/>
  <c r="S19" i="9" s="1"/>
  <c r="K18" i="9"/>
  <c r="K19" i="9" s="1"/>
  <c r="N18" i="9"/>
  <c r="N19" i="9" s="1"/>
  <c r="Y18" i="9"/>
  <c r="Y19" i="9" s="1"/>
  <c r="Q18" i="9"/>
  <c r="Q19" i="9" s="1"/>
  <c r="F18" i="9"/>
  <c r="F19" i="9" s="1"/>
  <c r="U18" i="9"/>
  <c r="U19" i="9" s="1"/>
  <c r="R18" i="9"/>
  <c r="R19" i="9" s="1"/>
  <c r="G18" i="9"/>
  <c r="G19" i="9" s="1"/>
  <c r="I18" i="9"/>
  <c r="I19" i="9" s="1"/>
  <c r="Q53" i="9" l="1"/>
  <c r="Q54" i="9" s="1"/>
  <c r="Q32" i="9"/>
  <c r="I53" i="9"/>
  <c r="I54" i="9" s="1"/>
  <c r="I32" i="9"/>
  <c r="F53" i="9"/>
  <c r="F54" i="9" s="1"/>
  <c r="F55" i="9" s="1"/>
  <c r="F32" i="9"/>
  <c r="K53" i="9"/>
  <c r="K54" i="9" s="1"/>
  <c r="K32" i="9"/>
  <c r="J53" i="9"/>
  <c r="J54" i="9" s="1"/>
  <c r="J32" i="9"/>
  <c r="M53" i="9"/>
  <c r="M54" i="9" s="1"/>
  <c r="M32" i="9"/>
  <c r="S53" i="9"/>
  <c r="S54" i="9" s="1"/>
  <c r="S32" i="9"/>
  <c r="L53" i="9"/>
  <c r="L54" i="9" s="1"/>
  <c r="L32" i="9"/>
  <c r="H53" i="9"/>
  <c r="H54" i="9" s="1"/>
  <c r="H32" i="9"/>
  <c r="G53" i="9"/>
  <c r="G54" i="9" s="1"/>
  <c r="G32" i="9"/>
  <c r="R53" i="9"/>
  <c r="R54" i="9" s="1"/>
  <c r="R32" i="9"/>
  <c r="Y53" i="9"/>
  <c r="Y54" i="9" s="1"/>
  <c r="Y32" i="9"/>
  <c r="V53" i="9"/>
  <c r="V54" i="9" s="1"/>
  <c r="V32" i="9"/>
  <c r="X53" i="9"/>
  <c r="X54" i="9" s="1"/>
  <c r="X32" i="9"/>
  <c r="W53" i="9"/>
  <c r="W54" i="9" s="1"/>
  <c r="W32" i="9"/>
  <c r="U53" i="9"/>
  <c r="U54" i="9" s="1"/>
  <c r="U32" i="9"/>
  <c r="N53" i="9"/>
  <c r="N54" i="9" s="1"/>
  <c r="N32" i="9"/>
  <c r="P53" i="9"/>
  <c r="P54" i="9" s="1"/>
  <c r="P32" i="9"/>
  <c r="O53" i="9"/>
  <c r="O54" i="9" s="1"/>
  <c r="O32" i="9"/>
  <c r="T53" i="9"/>
  <c r="T54" i="9" s="1"/>
  <c r="T32" i="9"/>
  <c r="T34" i="9" l="1"/>
  <c r="T31" i="9" s="1"/>
  <c r="U34" i="9"/>
  <c r="U31" i="9" s="1"/>
  <c r="Y34" i="9"/>
  <c r="Y31" i="9" s="1"/>
  <c r="L34" i="9"/>
  <c r="L31" i="9" s="1"/>
  <c r="K34" i="9"/>
  <c r="K31" i="9" s="1"/>
  <c r="F34" i="9"/>
  <c r="F31" i="9" s="1"/>
  <c r="V34" i="9"/>
  <c r="V31" i="9" s="1"/>
  <c r="H34" i="9"/>
  <c r="H31" i="9" s="1"/>
  <c r="J34" i="9"/>
  <c r="J31" i="9" s="1"/>
  <c r="F60" i="9"/>
  <c r="G55" i="9"/>
  <c r="X34" i="9"/>
  <c r="X31" i="9" s="1"/>
  <c r="G34" i="9"/>
  <c r="G31" i="9" s="1"/>
  <c r="M34" i="9"/>
  <c r="M31" i="9" s="1"/>
  <c r="Q34" i="9"/>
  <c r="Q31" i="9" s="1"/>
  <c r="N34" i="9"/>
  <c r="N31" i="9" s="1"/>
  <c r="P34" i="9"/>
  <c r="P31" i="9" s="1"/>
  <c r="O34" i="9"/>
  <c r="O31" i="9" s="1"/>
  <c r="W34" i="9"/>
  <c r="W31" i="9" s="1"/>
  <c r="R34" i="9"/>
  <c r="R31" i="9" s="1"/>
  <c r="S34" i="9"/>
  <c r="S31" i="9" s="1"/>
  <c r="I34" i="9"/>
  <c r="I31" i="9" s="1"/>
  <c r="S35" i="9" l="1"/>
  <c r="W35" i="9"/>
  <c r="P35" i="9"/>
  <c r="Q35" i="9"/>
  <c r="G35" i="9"/>
  <c r="I35" i="9"/>
  <c r="R35" i="9"/>
  <c r="O35" i="9"/>
  <c r="N35" i="9"/>
  <c r="M35" i="9"/>
  <c r="X35" i="9"/>
  <c r="T35" i="9"/>
  <c r="S50" i="9"/>
  <c r="S51" i="9" s="1"/>
  <c r="S37" i="9"/>
  <c r="S41" i="9" s="1"/>
  <c r="W50" i="9"/>
  <c r="W51" i="9" s="1"/>
  <c r="W37" i="9"/>
  <c r="W41" i="9" s="1"/>
  <c r="P50" i="9"/>
  <c r="P51" i="9" s="1"/>
  <c r="P37" i="9"/>
  <c r="P41" i="9" s="1"/>
  <c r="Q50" i="9"/>
  <c r="Q51" i="9" s="1"/>
  <c r="Q37" i="9"/>
  <c r="Q41" i="9" s="1"/>
  <c r="G50" i="9"/>
  <c r="G51" i="9" s="1"/>
  <c r="G37" i="9"/>
  <c r="G41" i="9" s="1"/>
  <c r="H55" i="9"/>
  <c r="G60" i="9"/>
  <c r="H35" i="9"/>
  <c r="F35" i="9"/>
  <c r="L35" i="9"/>
  <c r="U35" i="9"/>
  <c r="H50" i="9"/>
  <c r="H51" i="9" s="1"/>
  <c r="H37" i="9"/>
  <c r="H41" i="9" s="1"/>
  <c r="F50" i="9"/>
  <c r="F37" i="9"/>
  <c r="E46" i="9"/>
  <c r="L50" i="9"/>
  <c r="L51" i="9" s="1"/>
  <c r="L37" i="9"/>
  <c r="L41" i="9" s="1"/>
  <c r="U50" i="9"/>
  <c r="U51" i="9" s="1"/>
  <c r="U37" i="9"/>
  <c r="U41" i="9" s="1"/>
  <c r="I50" i="9"/>
  <c r="I51" i="9" s="1"/>
  <c r="I37" i="9"/>
  <c r="I41" i="9" s="1"/>
  <c r="R50" i="9"/>
  <c r="R51" i="9" s="1"/>
  <c r="R37" i="9"/>
  <c r="R41" i="9" s="1"/>
  <c r="O50" i="9"/>
  <c r="O51" i="9" s="1"/>
  <c r="O37" i="9"/>
  <c r="O41" i="9" s="1"/>
  <c r="N50" i="9"/>
  <c r="N51" i="9" s="1"/>
  <c r="N37" i="9"/>
  <c r="N41" i="9" s="1"/>
  <c r="M50" i="9"/>
  <c r="M51" i="9" s="1"/>
  <c r="M37" i="9"/>
  <c r="M41" i="9" s="1"/>
  <c r="X50" i="9"/>
  <c r="X51" i="9" s="1"/>
  <c r="X37" i="9"/>
  <c r="X41" i="9" s="1"/>
  <c r="J35" i="9"/>
  <c r="V35" i="9"/>
  <c r="K35" i="9"/>
  <c r="Y35" i="9"/>
  <c r="J50" i="9"/>
  <c r="J51" i="9" s="1"/>
  <c r="J37" i="9"/>
  <c r="J41" i="9" s="1"/>
  <c r="V50" i="9"/>
  <c r="V51" i="9" s="1"/>
  <c r="V37" i="9"/>
  <c r="V41" i="9" s="1"/>
  <c r="K50" i="9"/>
  <c r="K51" i="9" s="1"/>
  <c r="K37" i="9"/>
  <c r="K41" i="9" s="1"/>
  <c r="Y50" i="9"/>
  <c r="Y51" i="9" s="1"/>
  <c r="Y37" i="9"/>
  <c r="Y41" i="9" s="1"/>
  <c r="T50" i="9"/>
  <c r="T51" i="9" s="1"/>
  <c r="T37" i="9"/>
  <c r="T41" i="9" s="1"/>
  <c r="F57" i="9" l="1"/>
  <c r="F51" i="9"/>
  <c r="F52" i="9" s="1"/>
  <c r="G52" i="9" s="1"/>
  <c r="H52" i="9" s="1"/>
  <c r="I55" i="9"/>
  <c r="H60" i="9"/>
  <c r="F41" i="9"/>
  <c r="F42" i="9" s="1"/>
  <c r="G42" i="9" s="1"/>
  <c r="H42" i="9" s="1"/>
  <c r="I42" i="9" s="1"/>
  <c r="J42" i="9" s="1"/>
  <c r="K42" i="9" s="1"/>
  <c r="L42" i="9" s="1"/>
  <c r="M42" i="9" s="1"/>
  <c r="N42" i="9" s="1"/>
  <c r="O42" i="9" s="1"/>
  <c r="P42" i="9" s="1"/>
  <c r="Q42" i="9" s="1"/>
  <c r="R42" i="9" s="1"/>
  <c r="S42" i="9" s="1"/>
  <c r="T42" i="9" s="1"/>
  <c r="U42" i="9" s="1"/>
  <c r="V42" i="9" s="1"/>
  <c r="W42" i="9" s="1"/>
  <c r="X42" i="9" s="1"/>
  <c r="Y42" i="9" s="1"/>
  <c r="E48" i="9" s="1" a="1"/>
  <c r="E48" i="9" s="1"/>
  <c r="F38" i="9"/>
  <c r="G38" i="9" s="1"/>
  <c r="H38" i="9" s="1"/>
  <c r="I38" i="9" s="1"/>
  <c r="J38" i="9" s="1"/>
  <c r="K38" i="9" s="1"/>
  <c r="L38" i="9" s="1"/>
  <c r="M38" i="9" s="1"/>
  <c r="N38" i="9" s="1"/>
  <c r="O38" i="9" s="1"/>
  <c r="P38" i="9" s="1"/>
  <c r="Q38" i="9" s="1"/>
  <c r="R38" i="9" s="1"/>
  <c r="S38" i="9" s="1"/>
  <c r="T38" i="9" s="1"/>
  <c r="U38" i="9" s="1"/>
  <c r="V38" i="9" s="1"/>
  <c r="W38" i="9" s="1"/>
  <c r="X38" i="9" s="1"/>
  <c r="Y38" i="9" s="1"/>
  <c r="E47" i="9" s="1" a="1"/>
  <c r="E47" i="9" s="1"/>
  <c r="E44" i="9"/>
  <c r="E45" i="9"/>
  <c r="H59" i="9" l="1"/>
  <c r="H56" i="9"/>
  <c r="I52" i="9"/>
  <c r="I56" i="9" s="1"/>
  <c r="E17" i="16"/>
  <c r="D35" i="13"/>
  <c r="J55" i="9"/>
  <c r="I60" i="9"/>
  <c r="G59" i="9"/>
  <c r="G56" i="9"/>
  <c r="F59" i="9"/>
  <c r="F56" i="9"/>
  <c r="E18" i="16"/>
  <c r="E35" i="13"/>
  <c r="J52" i="9" l="1"/>
  <c r="J56" i="9" s="1"/>
  <c r="I59" i="9"/>
  <c r="K55" i="9"/>
  <c r="J60" i="9"/>
  <c r="L55" i="9" l="1"/>
  <c r="K60" i="9"/>
  <c r="K52" i="9"/>
  <c r="K56" i="9" s="1"/>
  <c r="J59" i="9"/>
  <c r="L52" i="9" l="1"/>
  <c r="L56" i="9" s="1"/>
  <c r="K59" i="9"/>
  <c r="M55" i="9"/>
  <c r="L60" i="9"/>
  <c r="M60" i="9" l="1"/>
  <c r="N55" i="9"/>
  <c r="L59" i="9"/>
  <c r="M52" i="9"/>
  <c r="M56" i="9" s="1"/>
  <c r="O55" i="9" l="1"/>
  <c r="N60" i="9"/>
  <c r="M59" i="9"/>
  <c r="N52" i="9"/>
  <c r="N56" i="9" s="1"/>
  <c r="O52" i="9" l="1"/>
  <c r="O56" i="9" s="1"/>
  <c r="N59" i="9"/>
  <c r="P55" i="9"/>
  <c r="O60" i="9"/>
  <c r="Q55" i="9" l="1"/>
  <c r="P60" i="9"/>
  <c r="O59" i="9"/>
  <c r="P52" i="9"/>
  <c r="P56" i="9" s="1"/>
  <c r="P59" i="9" l="1"/>
  <c r="Q52" i="9"/>
  <c r="R55" i="9"/>
  <c r="Q60" i="9"/>
  <c r="S55" i="9" l="1"/>
  <c r="R60" i="9"/>
  <c r="Q59" i="9"/>
  <c r="R52" i="9"/>
  <c r="R56" i="9" s="1"/>
  <c r="Q56" i="9"/>
  <c r="R59" i="9" l="1"/>
  <c r="S52" i="9"/>
  <c r="T55" i="9"/>
  <c r="S60" i="9"/>
  <c r="U55" i="9" l="1"/>
  <c r="T60" i="9"/>
  <c r="S59" i="9"/>
  <c r="T52" i="9"/>
  <c r="T56" i="9" s="1"/>
  <c r="S56" i="9"/>
  <c r="T59" i="9" l="1"/>
  <c r="U52" i="9"/>
  <c r="V55" i="9"/>
  <c r="U60" i="9"/>
  <c r="W55" i="9" l="1"/>
  <c r="V60" i="9"/>
  <c r="U59" i="9"/>
  <c r="V52" i="9"/>
  <c r="V56" i="9" s="1"/>
  <c r="U56" i="9"/>
  <c r="V59" i="9" l="1"/>
  <c r="W52" i="9"/>
  <c r="X55" i="9"/>
  <c r="W60" i="9"/>
  <c r="Y55" i="9" l="1"/>
  <c r="Y60" i="9" s="1"/>
  <c r="X60" i="9"/>
  <c r="W59" i="9"/>
  <c r="X52" i="9"/>
  <c r="X56" i="9" s="1"/>
  <c r="W56" i="9"/>
  <c r="X59" i="9" l="1"/>
  <c r="Y52" i="9"/>
  <c r="Y59" i="9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<sst xmlns="http://schemas.openxmlformats.org/spreadsheetml/2006/main" count="331" uniqueCount="202">
  <si>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</si>
  <si>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</si>
  <si>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</si>
  <si>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</si>
  <si>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</si>
  <si>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</si>
  <si>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</si>
  <si>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</si>
  <si>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</si>
  <si>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</si>
  <si>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</si>
  <si>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</si>
  <si>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</si>
  <si>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</si>
  <si>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</si>
  <si>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</si>
  <si>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</si>
  <si>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</si>
  <si>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</si>
  <si>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</si>
  <si>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</si>
  <si>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</si>
  <si>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</si>
  <si>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</si>
  <si>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</si>
  <si>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</si>
  <si>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</si>
  <si>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</si>
  <si>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</si>
  <si>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</si>
  <si>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</si>
  <si>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</si>
  <si>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</si>
  <si>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</si>
  <si>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</si>
  <si>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</si>
  <si>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</si>
  <si>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</si>
  <si>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</si>
  <si>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</si>
  <si>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</si>
  <si>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</si>
  <si>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</si>
  <si>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</si>
  <si>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</si>
  <si>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</si>
  <si>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</si>
  <si>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</si>
  <si>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</si>
  <si>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</si>
  <si>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</si>
  <si>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</si>
  <si>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</si>
  <si>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</si>
  <si>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</si>
  <si>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</si>
  <si>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</si>
  <si>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</si>
  <si>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</si>
  <si>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</si>
  <si>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</si>
  <si>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</si>
  <si>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</si>
  <si>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</si>
  <si>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</si>
  <si>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ENERGIJA I TROŠKOVI ENERGIJE</t>
  </si>
  <si>
    <t>Ušteda energije</t>
  </si>
  <si>
    <t>Ušteda u novcu</t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</si>
  <si>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</si>
  <si>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</si>
  <si>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</si>
  <si>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</si>
  <si>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</si>
  <si>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</si>
  <si>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</si>
  <si>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</si>
  <si>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</si>
  <si>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</si>
  <si>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</si>
  <si>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</si>
  <si>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</si>
  <si>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</si>
  <si>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Operativni troškovi (EUR/a)</t>
  </si>
  <si>
    <t>Troškovi održavanja (EUR/a)</t>
  </si>
  <si>
    <t>Ostali troškovi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</si>
  <si>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</si>
  <si>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</si>
  <si>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</si>
  <si>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</si>
  <si>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</si>
  <si>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</si>
  <si>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</si>
  <si>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</si>
  <si>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Ostali troškovi</t>
  </si>
  <si>
    <t>Ukupni godišnji troškovi (EUR/a)</t>
  </si>
  <si>
    <t>Graf - Prihodi, diskontovani, kumul.</t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</si>
  <si>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</si>
  <si>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</si>
  <si>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</si>
  <si>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</si>
  <si>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</si>
  <si>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</si>
  <si>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</si>
  <si>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</si>
  <si>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</si>
  <si>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</si>
  <si>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Priključenje novog objekta</t>
  </si>
  <si>
    <t>Povezivanje na SCADA</t>
  </si>
  <si>
    <t>Električna snaga cirkulacione pumpe</t>
  </si>
  <si>
    <t>Radni režim sa prekidom</t>
  </si>
  <si>
    <t>Emisioni faktor</t>
  </si>
  <si>
    <t>t/MWh</t>
  </si>
  <si>
    <t>kWe</t>
  </si>
  <si>
    <t>Cena električne energije</t>
  </si>
  <si>
    <t>RSD/Mwhe</t>
  </si>
  <si>
    <t>Nabavka cirkulacione pumpe</t>
  </si>
  <si>
    <t>Nabavka frekventnog regulatora</t>
  </si>
  <si>
    <t>Ugradnja opreme</t>
  </si>
  <si>
    <t>Rekonstrukcija elektro ormana</t>
  </si>
  <si>
    <t>Upotreba obnovljive energije</t>
  </si>
  <si>
    <t>NAZAD</t>
  </si>
  <si>
    <t>DALJE</t>
  </si>
  <si>
    <t>Miks goriva</t>
  </si>
  <si>
    <t>Udeo u uštedama ako gradi ESCO (EUR/a)</t>
  </si>
  <si>
    <t>ESCO INVESTICIJA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</si>
  <si>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</si>
  <si>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</si>
  <si>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</si>
  <si>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</si>
  <si>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</si>
  <si>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Projekat</t>
  </si>
  <si>
    <t>Investiciona vrednost (EUR)</t>
  </si>
  <si>
    <t>Subvencije (EUR)</t>
  </si>
  <si>
    <t>LCoE(EE) (EUR/MWh)</t>
  </si>
  <si>
    <t>FNPV (EUR)</t>
  </si>
  <si>
    <t>FIRR (%)</t>
  </si>
  <si>
    <t>Finansijska diskontna stopa</t>
  </si>
  <si>
    <t>Grantovi</t>
  </si>
  <si>
    <t>Kredit</t>
  </si>
  <si>
    <t>Sopstveni kapital</t>
  </si>
  <si>
    <t>Ukupno</t>
  </si>
  <si>
    <t>Prinos na sopstveni kapital</t>
  </si>
  <si>
    <t>Grantovi (EUR)</t>
  </si>
  <si>
    <t>PRIHODI</t>
  </si>
  <si>
    <t>TROŠKOVI</t>
  </si>
  <si>
    <t>Kamate (EUR/a)</t>
  </si>
  <si>
    <t>Otplata glavnice (EUR/a)</t>
  </si>
  <si>
    <t>Amortizacija (EUR)</t>
  </si>
  <si>
    <t>Ukupno troškovi cash flow</t>
  </si>
  <si>
    <t>BRUTO DOBIT (EUR/a)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</si>
  <si>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</si>
  <si>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</si>
  <si>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</si>
  <si>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</si>
  <si>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</si>
  <si>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</si>
  <si>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</si>
  <si>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</si>
  <si>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</si>
  <si>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</si>
  <si>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</si>
  <si>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</si>
  <si>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</si>
  <si>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</si>
  <si>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</si>
  <si>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</si>
  <si>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</si>
  <si>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</si>
  <si>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</si>
  <si>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</si>
  <si>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</si>
  <si>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</si>
  <si>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</si>
  <si>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</si>
  <si>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t>Investicije</t>
  </si>
  <si>
    <r>
      <t>CO</t>
    </r>
    <r>
      <rPr>
        <b/>
        <sz val="11"/>
        <color theme="1"/>
        <rFont val="Calibri"/>
        <family val="2"/>
      </rPr>
      <t>₂ taksa</t>
    </r>
  </si>
  <si>
    <t>Neosetljivo</t>
  </si>
  <si>
    <t>Projekat “Bolja energija"</t>
  </si>
  <si>
    <t>ANALIZA SA UKLJUČENIM CO₂</t>
  </si>
  <si>
    <t>Toplota iz DH na gas</t>
  </si>
  <si>
    <t>KONVERZIONI FAKTOR ZA MIKS GORIVA</t>
  </si>
  <si>
    <t>GORIVO</t>
  </si>
  <si>
    <t>Primarna energija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</si>
  <si>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</si>
  <si>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</si>
  <si>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</si>
  <si>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</si>
  <si>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</si>
  <si>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</si>
  <si>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</si>
  <si>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</si>
  <si>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</si>
  <si>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</si>
  <si>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</si>
  <si>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</si>
  <si>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</si>
  <si>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</si>
  <si>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</si>
  <si>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</si>
  <si>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</si>
  <si>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(EUR)</t>
    </r>
  </si>
  <si>
    <r>
      <t>IRRCO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</si>
</sst>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9"/>
      <color rgb="FF002F6C"/>
      <name val="Gill Sans MT"/>
      <family val="2"/>
    </font>
    <font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bscript"/>
      <sz val="11"/>
      <color rgb="FFFFFFFF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1" fillId="0" borderId="0"/>
  </cellStyleXfs>
  <cellXfs count="87">
    <xf numFmtId="0" fontId="0" fillId="0" borderId="0" xfId="0"/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3" fillId="2" borderId="0" xfId="0" applyFont="1" applyFill="1"/>
    <xf numFmtId="0" fontId="3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2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3" fillId="4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3" fillId="6" borderId="0" xfId="0" applyFont="1" applyFill="1"/>
    <xf numFmtId="0" fontId="0" fillId="6" borderId="0" xfId="0" applyFill="1"/>
    <xf numFmtId="0" fontId="0" fillId="0" borderId="0" xfId="0" applyProtection="1">
      <protection hidden="1"/>
    </xf>
    <xf numFmtId="4" fontId="0" fillId="4" borderId="0" xfId="0" applyNumberFormat="1" applyFill="1"/>
    <xf numFmtId="4" fontId="3" fillId="4" borderId="0" xfId="0" applyNumberFormat="1" applyFont="1" applyFill="1"/>
    <xf numFmtId="4" fontId="0" fillId="0" borderId="0" xfId="0" applyNumberFormat="1" applyAlignment="1" applyProtection="1">
      <alignment horizontal="right"/>
      <protection locked="0"/>
    </xf>
    <xf numFmtId="4" fontId="3" fillId="7" borderId="0" xfId="0" applyNumberFormat="1" applyFont="1" applyFill="1"/>
    <xf numFmtId="2" fontId="3" fillId="7" borderId="0" xfId="0" applyNumberFormat="1" applyFont="1" applyFill="1"/>
    <xf numFmtId="0" fontId="9" fillId="0" borderId="0" xfId="1" applyFont="1" applyFill="1" applyAlignment="1" applyProtection="1">
      <alignment vertical="distributed"/>
      <protection locked="0"/>
    </xf>
    <xf numFmtId="0" fontId="0" fillId="5" borderId="0" xfId="0" applyFill="1"/>
    <xf numFmtId="4" fontId="0" fillId="5" borderId="0" xfId="0" applyNumberFormat="1" applyFill="1"/>
    <xf numFmtId="0" fontId="12" fillId="0" borderId="0" xfId="0" applyFont="1" applyAlignment="1">
      <alignment horizontal="left"/>
    </xf>
    <xf numFmtId="0" fontId="12" fillId="10" borderId="0" xfId="0" applyFont="1" applyFill="1" applyAlignment="1">
      <alignment horizontal="left"/>
    </xf>
    <xf numFmtId="164" fontId="0" fillId="0" borderId="0" xfId="0" applyNumberFormat="1"/>
    <xf numFmtId="0" fontId="0" fillId="10" borderId="0" xfId="0" applyFill="1"/>
    <xf numFmtId="164" fontId="0" fillId="10" borderId="0" xfId="0" applyNumberFormat="1" applyFill="1"/>
    <xf numFmtId="10" fontId="0" fillId="10" borderId="0" xfId="0" applyNumberFormat="1" applyFill="1"/>
    <xf numFmtId="0" fontId="0" fillId="10" borderId="0" xfId="0" applyFill="1" applyAlignment="1">
      <alignment horizontal="left"/>
    </xf>
    <xf numFmtId="4" fontId="0" fillId="10" borderId="0" xfId="0" applyNumberFormat="1" applyFill="1"/>
    <xf numFmtId="2" fontId="0" fillId="10" borderId="0" xfId="0" applyNumberFormat="1" applyFill="1"/>
    <xf numFmtId="0" fontId="11" fillId="0" borderId="1" xfId="0" applyFont="1" applyBorder="1" applyAlignment="1">
      <alignment horizontal="centerContinuous"/>
    </xf>
    <xf numFmtId="0" fontId="11" fillId="0" borderId="2" xfId="0" applyFont="1" applyBorder="1" applyAlignment="1">
      <alignment horizontal="centerContinuous"/>
    </xf>
    <xf numFmtId="0" fontId="11" fillId="0" borderId="3" xfId="0" applyFont="1" applyBorder="1" applyAlignment="1">
      <alignment horizontal="center"/>
    </xf>
    <xf numFmtId="0" fontId="11" fillId="0" borderId="0" xfId="0" applyFont="1"/>
    <xf numFmtId="10" fontId="0" fillId="0" borderId="0" xfId="2" applyNumberFormat="1" applyFont="1"/>
    <xf numFmtId="164" fontId="0" fillId="0" borderId="0" xfId="2" applyNumberFormat="1" applyFont="1"/>
    <xf numFmtId="10" fontId="0" fillId="0" borderId="0" xfId="2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3" fillId="4" borderId="0" xfId="0" applyFont="1" applyFill="1" applyProtection="1">
      <protection locked="0"/>
    </xf>
    <xf numFmtId="4" fontId="2" fillId="4" borderId="0" xfId="0" applyNumberFormat="1" applyFont="1" applyFill="1" applyProtection="1">
      <protection locked="0"/>
    </xf>
    <xf numFmtId="165" fontId="12" fillId="0" borderId="0" xfId="0" applyNumberFormat="1" applyFont="1"/>
    <xf numFmtId="4" fontId="2" fillId="4" borderId="0" xfId="0" applyNumberFormat="1" applyFont="1" applyFill="1"/>
    <xf numFmtId="2" fontId="2" fillId="4" borderId="0" xfId="0" applyNumberFormat="1" applyFont="1" applyFill="1"/>
    <xf numFmtId="0" fontId="19" fillId="0" borderId="0" xfId="0" applyFont="1"/>
    <xf numFmtId="2" fontId="0" fillId="0" borderId="0" xfId="0" applyNumberFormat="1"/>
    <xf numFmtId="2" fontId="12" fillId="0" borderId="0" xfId="1" applyNumberFormat="1" applyFont="1"/>
    <xf numFmtId="0" fontId="15" fillId="0" borderId="0" xfId="0" applyFont="1" applyAlignment="1"/>
    <xf numFmtId="0" fontId="1" fillId="0" borderId="0" xfId="3" applyFont="1"/>
    <xf numFmtId="0" fontId="15" fillId="0" borderId="0" xfId="0" applyFont="1" applyAlignment="1">
      <alignment horizontal="center"/>
    </xf>
    <xf numFmtId="0" fontId="6" fillId="4" borderId="0" xfId="0" applyFont="1" applyFill="1" applyAlignment="1">
      <alignment horizontal="center" vertical="distributed"/>
    </xf>
    <xf numFmtId="0" fontId="4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/>
      <protection locked="0"/>
    </xf>
    <xf numFmtId="0" fontId="9" fillId="8" borderId="0" xfId="1" applyFont="1" applyFill="1" applyAlignment="1" applyProtection="1">
      <alignment horizontal="center" vertical="distributed"/>
      <protection locked="0"/>
    </xf>
    <xf numFmtId="0" fontId="3" fillId="4" borderId="0" xfId="0" applyFont="1" applyFill="1" applyAlignment="1">
      <alignment horizontal="left" vertical="distributed"/>
    </xf>
    <xf numFmtId="0" fontId="4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0" fontId="17" fillId="11" borderId="0" xfId="0" applyFont="1" applyFill="1" applyAlignment="1">
      <alignment horizontal="center"/>
    </xf>
    <xf numFmtId="0" fontId="4" fillId="4" borderId="0" xfId="0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16" fillId="11" borderId="0" xfId="0" applyFont="1" applyFill="1" applyAlignment="1">
      <alignment horizontal="left"/>
    </xf>
    <xf numFmtId="0" fontId="0" fillId="0" borderId="0" xfId="0" applyNumberFormat="1"/>
  </cellXfs>
  <cellStyles count="4">
    <cellStyle name="Hyperlink" xfId="1" builtinId="8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FinaIndicators!$A$55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FinaIndicators!$E$55:$Y$55</c:f>
              <c:numCache>
                <c:formatCode>#,##0.00</c:formatCode>
                <c:ptCount val="21"/>
                <c:pt idx="1">
                  <c:v>-42592.841894441175</c:v>
                </c:pt>
                <c:pt idx="2">
                  <c:v>-41393.756756330637</c:v>
                </c:pt>
                <c:pt idx="3">
                  <c:v>-40386.331733369661</c:v>
                </c:pt>
                <c:pt idx="4">
                  <c:v>-39555.633825102879</c:v>
                </c:pt>
                <c:pt idx="5">
                  <c:v>-33271.182563277318</c:v>
                </c:pt>
                <c:pt idx="6">
                  <c:v>-27538.038274212275</c:v>
                </c:pt>
                <c:pt idx="7">
                  <c:v>-22307.837247927135</c:v>
                </c:pt>
                <c:pt idx="8">
                  <c:v>-17536.458507725343</c:v>
                </c:pt>
                <c:pt idx="9">
                  <c:v>-13183.651614063812</c:v>
                </c:pt>
                <c:pt idx="10">
                  <c:v>-9212.6971195341903</c:v>
                </c:pt>
                <c:pt idx="11">
                  <c:v>-5590.0968106193468</c:v>
                </c:pt>
                <c:pt idx="12">
                  <c:v>-2285.2911231634644</c:v>
                </c:pt>
                <c:pt idx="13">
                  <c:v>729.59865227311093</c:v>
                </c:pt>
                <c:pt idx="14">
                  <c:v>3480.0055498808651</c:v>
                </c:pt>
                <c:pt idx="15">
                  <c:v>5989.131476818904</c:v>
                </c:pt>
                <c:pt idx="16">
                  <c:v>8278.1429400713241</c:v>
                </c:pt>
                <c:pt idx="17">
                  <c:v>10366.349603056544</c:v>
                </c:pt>
                <c:pt idx="18">
                  <c:v>12271.367178259039</c:v>
                </c:pt>
                <c:pt idx="19">
                  <c:v>14009.266030014653</c:v>
                </c:pt>
                <c:pt idx="20">
                  <c:v>15594.706741034039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7D-42FF-9171-D068C4CC8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35223552"/>
        <c:axId val="175793280"/>
      </c:barChart>
      <c:lineChart>
        <c:grouping val="standard"/>
        <c:varyColors val="0"/>
        <c:ser>
          <c:idx val="0"/>
          <c:order val="0"/>
          <c:tx>
            <c:strRef>
              <c:f>FinaIndicators!$A$58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FinaIndicators!$E$58:$Y$58</c:f>
              <c:numCache>
                <c:formatCode>#,##0.00</c:formatCode>
                <c:ptCount val="21"/>
                <c:pt idx="0">
                  <c:v>27000</c:v>
                </c:pt>
                <c:pt idx="1">
                  <c:v>54657.190749071524</c:v>
                </c:pt>
                <c:pt idx="2">
                  <c:v>64464.10277054755</c:v>
                </c:pt>
                <c:pt idx="3">
                  <c:v>73497.167701616418</c:v>
                </c:pt>
                <c:pt idx="4">
                  <c:v>81826.152196971219</c:v>
                </c:pt>
                <c:pt idx="5">
                  <c:v>83897.845119278922</c:v>
                </c:pt>
                <c:pt idx="6">
                  <c:v>85787.797630864574</c:v>
                </c:pt>
                <c:pt idx="7">
                  <c:v>87511.953010065321</c:v>
                </c:pt>
                <c:pt idx="8">
                  <c:v>89084.855902282841</c:v>
                </c:pt>
                <c:pt idx="9">
                  <c:v>90519.775015833453</c:v>
                </c:pt>
                <c:pt idx="10">
                  <c:v>91828.81505423662</c:v>
                </c:pt>
                <c:pt idx="11">
                  <c:v>93023.018829181412</c:v>
                </c:pt>
                <c:pt idx="12">
                  <c:v>94112.460415576308</c:v>
                </c:pt>
                <c:pt idx="13">
                  <c:v>95106.330134520627</c:v>
                </c:pt>
                <c:pt idx="14">
                  <c:v>96013.012081097622</c:v>
                </c:pt>
                <c:pt idx="15">
                  <c:v>96840.154850998952</c:v>
                </c:pt>
                <c:pt idx="16">
                  <c:v>97594.736062616736</c:v>
                </c:pt>
                <c:pt idx="17">
                  <c:v>98283.121218899352</c:v>
                </c:pt>
                <c:pt idx="18">
                  <c:v>98911.117405518264</c:v>
                </c:pt>
                <c:pt idx="19">
                  <c:v>99484.022278333359</c:v>
                </c:pt>
                <c:pt idx="20">
                  <c:v>100006.66875340574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F7D-42FF-9171-D068C4CC8E64}"/>
            </c:ext>
          </c:extLst>
        </c:ser>
        <c:ser>
          <c:idx val="1"/>
          <c:order val="1"/>
          <c:tx>
            <c:strRef>
              <c:f>FinaIndicators!$A$59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FinaIndicators!$E$59:$Y$59</c:f>
              <c:numCache>
                <c:formatCode>#,##0.00</c:formatCode>
                <c:ptCount val="21"/>
                <c:pt idx="1">
                  <c:v>12064.348854630351</c:v>
                </c:pt>
                <c:pt idx="2">
                  <c:v>23070.346014216913</c:v>
                </c:pt>
                <c:pt idx="3">
                  <c:v>33110.835968246756</c:v>
                </c:pt>
                <c:pt idx="4">
                  <c:v>42270.51837186834</c:v>
                </c:pt>
                <c:pt idx="5">
                  <c:v>50626.662556001604</c:v>
                </c:pt>
                <c:pt idx="6">
                  <c:v>58249.759356652299</c:v>
                </c:pt>
                <c:pt idx="7">
                  <c:v>65204.115762138186</c:v>
                </c:pt>
                <c:pt idx="8">
                  <c:v>71548.397394557498</c:v>
                </c:pt>
                <c:pt idx="9">
                  <c:v>77336.123401769641</c:v>
                </c:pt>
                <c:pt idx="10">
                  <c:v>82616.11793470243</c:v>
                </c:pt>
                <c:pt idx="11">
                  <c:v>87432.922018562065</c:v>
                </c:pt>
                <c:pt idx="12">
                  <c:v>91827.169292412844</c:v>
                </c:pt>
                <c:pt idx="13">
                  <c:v>95835.928786793738</c:v>
                </c:pt>
                <c:pt idx="14">
                  <c:v>99493.017630978487</c:v>
                </c:pt>
                <c:pt idx="15">
                  <c:v>102829.28632781786</c:v>
                </c:pt>
                <c:pt idx="16">
                  <c:v>105872.87900268806</c:v>
                </c:pt>
                <c:pt idx="17">
                  <c:v>108649.4708219559</c:v>
                </c:pt>
                <c:pt idx="18">
                  <c:v>111182.4845837773</c:v>
                </c:pt>
                <c:pt idx="19">
                  <c:v>113493.28830834801</c:v>
                </c:pt>
                <c:pt idx="20">
                  <c:v>115601.37549443978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F7D-42FF-9171-D068C4CC8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35223552"/>
        <c:axId val="175793280"/>
      </c:lineChart>
      <c:catAx>
        <c:axId val="235223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93280"/>
        <c:crosses val="autoZero"/>
        <c:auto val="1"/>
        <c:lblAlgn val="ctr"/>
        <c:lblOffset val="100"/>
        <c:noMultiLvlLbl val="0"/>
      </c:catAx>
      <c:valAx>
        <c:axId val="17579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2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'FinInd+CO2'!$E$56:$Y$56</c:f>
              <c:numCache>
                <c:formatCode>#,##0.00</c:formatCode>
                <c:ptCount val="21"/>
                <c:pt idx="1">
                  <c:v>-42087.463459697115</c:v>
                </c:pt>
                <c:pt idx="2">
                  <c:v>-40342.705248225117</c:v>
                </c:pt>
                <c:pt idx="3">
                  <c:v>-38751.006918625179</c:v>
                </c:pt>
                <c:pt idx="4">
                  <c:v>-37298.941207861833</c:v>
                </c:pt>
                <c:pt idx="5">
                  <c:v>-30981.563500340038</c:v>
                </c:pt>
                <c:pt idx="6">
                  <c:v>-25218.381256290879</c:v>
                </c:pt>
                <c:pt idx="7">
                  <c:v>-19960.777371283853</c:v>
                </c:pt>
                <c:pt idx="8">
                  <c:v>-15164.399703341202</c:v>
                </c:pt>
                <c:pt idx="9">
                  <c:v>-10788.786926741101</c:v>
                </c:pt>
                <c:pt idx="10">
                  <c:v>-6797.0272080035065</c:v>
                </c:pt>
                <c:pt idx="11">
                  <c:v>-3155.446824714425</c:v>
                </c:pt>
                <c:pt idx="12">
                  <c:v>166.67389956346597</c:v>
                </c:pt>
                <c:pt idx="13">
                  <c:v>3197.3597406126501</c:v>
                </c:pt>
                <c:pt idx="14">
                  <c:v>5962.176985215483</c:v>
                </c:pt>
                <c:pt idx="15">
                  <c:v>8484.4491034654347</c:v>
                </c:pt>
                <c:pt idx="16">
                  <c:v>10785.453501105076</c:v>
                </c:pt>
                <c:pt idx="17">
                  <c:v>12884.601011656239</c:v>
                </c:pt>
                <c:pt idx="18">
                  <c:v>14799.599642503381</c:v>
                </c:pt>
                <c:pt idx="19">
                  <c:v>16546.60395626098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872-4C96-A31A-097A220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35258880"/>
        <c:axId val="175797312"/>
      </c:barChart>
      <c:lineChart>
        <c:grouping val="standard"/>
        <c:varyColors val="0"/>
        <c:ser>
          <c:idx val="0"/>
          <c:order val="0"/>
          <c:tx>
            <c:strRef>
              <c:f>'FinInd+CO2'!$A$59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'FinInd+CO2'!$E$59:$Y$59</c:f>
              <c:numCache>
                <c:formatCode>#,##0.00</c:formatCode>
                <c:ptCount val="21"/>
                <c:pt idx="0">
                  <c:v>44000</c:v>
                </c:pt>
                <c:pt idx="1">
                  <c:v>54207.739618859188</c:v>
                </c:pt>
                <c:pt idx="2">
                  <c:v>63519.999617694055</c:v>
                </c:pt>
                <c:pt idx="3">
                  <c:v>72015.336442869811</c:v>
                </c:pt>
                <c:pt idx="4">
                  <c:v>79765.415132921102</c:v>
                </c:pt>
                <c:pt idx="5">
                  <c:v>81842.91860446932</c:v>
                </c:pt>
                <c:pt idx="6">
                  <c:v>83738.171931640405</c:v>
                </c:pt>
                <c:pt idx="7">
                  <c:v>85467.163109439134</c:v>
                </c:pt>
                <c:pt idx="8">
                  <c:v>87044.477577140351</c:v>
                </c:pt>
                <c:pt idx="9">
                  <c:v>88483.421258268369</c:v>
                </c:pt>
                <c:pt idx="10">
                  <c:v>89796.132806825888</c:v>
                </c:pt>
                <c:pt idx="11">
                  <c:v>90993.686006660238</c:v>
                </c:pt>
                <c:pt idx="12">
                  <c:v>92086.183187788425</c:v>
                </c:pt>
                <c:pt idx="13">
                  <c:v>93082.840447723196</c:v>
                </c:pt>
                <c:pt idx="14">
                  <c:v>93992.065396711099</c:v>
                </c:pt>
                <c:pt idx="15">
                  <c:v>94821.52808272629</c:v>
                </c:pt>
                <c:pt idx="16">
                  <c:v>95578.225694530061</c:v>
                </c:pt>
                <c:pt idx="17">
                  <c:v>96268.541588618435</c:v>
                </c:pt>
                <c:pt idx="18">
                  <c:v>96898.299137998154</c:v>
                </c:pt>
                <c:pt idx="19">
                  <c:v>97472.810857048884</c:v>
                </c:pt>
                <c:pt idx="20">
                  <c:v>97996.923216879615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872-4C96-A31A-097A220B4798}"/>
            </c:ext>
          </c:extLst>
        </c:ser>
        <c:ser>
          <c:idx val="1"/>
          <c:order val="1"/>
          <c:tx>
            <c:strRef>
              <c:f>'FinInd+CO2'!$A$60</c:f>
              <c:strCache>
                <c:ptCount val="1"/>
                <c:pt idx="0">
                  <c:v>Graf - Prihodi,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'FinInd+CO2'!$E$60:$Y$60</c:f>
              <c:numCache>
                <c:formatCode>#,##0.00</c:formatCode>
                <c:ptCount val="21"/>
                <c:pt idx="1">
                  <c:v>12120.276159162075</c:v>
                </c:pt>
                <c:pt idx="2">
                  <c:v>23177.294369468938</c:v>
                </c:pt>
                <c:pt idx="3">
                  <c:v>33264.329524244633</c:v>
                </c:pt>
                <c:pt idx="4">
                  <c:v>42466.473925059268</c:v>
                </c:pt>
                <c:pt idx="5">
                  <c:v>50861.355104129281</c:v>
                </c:pt>
                <c:pt idx="6">
                  <c:v>58519.790675349526</c:v>
                </c:pt>
                <c:pt idx="7">
                  <c:v>65506.385738155281</c:v>
                </c:pt>
                <c:pt idx="8">
                  <c:v>71880.07787379915</c:v>
                </c:pt>
                <c:pt idx="9">
                  <c:v>77694.634331527268</c:v>
                </c:pt>
                <c:pt idx="10">
                  <c:v>82999.105598822382</c:v>
                </c:pt>
                <c:pt idx="11">
                  <c:v>87838.239181945813</c:v>
                </c:pt>
                <c:pt idx="12">
                  <c:v>92252.857087351891</c:v>
                </c:pt>
                <c:pt idx="13">
                  <c:v>96280.200188335846</c:v>
                </c:pt>
                <c:pt idx="14">
                  <c:v>99954.242381926582</c:v>
                </c:pt>
                <c:pt idx="15">
                  <c:v>103305.97718619173</c:v>
                </c:pt>
                <c:pt idx="16">
                  <c:v>106363.67919563514</c:v>
                </c:pt>
                <c:pt idx="17">
                  <c:v>109153.14260027467</c:v>
                </c:pt>
                <c:pt idx="18">
                  <c:v>111697.89878050153</c:v>
                </c:pt>
                <c:pt idx="19">
                  <c:v>114019.41481330986</c:v>
                </c:pt>
                <c:pt idx="20">
                  <c:v>116137.27456445729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872-4C96-A31A-097A220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35258880"/>
        <c:axId val="175797312"/>
      </c:lineChart>
      <c:catAx>
        <c:axId val="235258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797312"/>
        <c:crosses val="autoZero"/>
        <c:auto val="1"/>
        <c:lblAlgn val="ctr"/>
        <c:lblOffset val="100"/>
        <c:noMultiLvlLbl val="0"/>
      </c:catAx>
      <c:valAx>
        <c:axId val="175797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25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1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Osetljivost!$A$15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Osetljivost!$A$16:$A$17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Osetljivost!$B$16:$B$17</c:f>
              <c:numCache>
                <c:formatCode>#.##000_ ;[Red]\-#.##000\ </c:formatCode>
                <c:ptCount val="2"/>
                <c:pt idx="0">
                  <c:v>23022.074060343301</c:v>
                </c:pt>
                <c:pt idx="1">
                  <c:v>5124.5149294152216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4D4-4109-8A0D-883303E4AE0D}"/>
            </c:ext>
          </c:extLst>
        </c:ser>
        <c:ser>
          <c:idx val="1"/>
          <c:order val="1"/>
          <c:tx>
            <c:strRef>
              <c:f>Osetljivost!$A$25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Osetljivost!$B$26:$B$27</c:f>
              <c:numCache>
                <c:formatCode>#.##000_ ;[Red]\-#.##000\ </c:formatCode>
                <c:ptCount val="2"/>
                <c:pt idx="0">
                  <c:v>3996.4814815248342</c:v>
                </c:pt>
                <c:pt idx="1">
                  <c:v>24550.178354872409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4D4-4109-8A0D-883303E4A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6324352"/>
        <c:axId val="235686720"/>
      </c:lineChart>
      <c:catAx>
        <c:axId val="27632435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686720"/>
        <c:crosses val="autoZero"/>
        <c:auto val="1"/>
        <c:lblAlgn val="ctr"/>
        <c:lblOffset val="100"/>
        <c:noMultiLvlLbl val="0"/>
      </c:catAx>
      <c:valAx>
        <c:axId val="23568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32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[1]FinaIndikatori!$A$37</c:f>
              <c:strCache>
                <c:ptCount val="1"/>
                <c:pt idx="0">
                  <c:v>Dobit nakon oporezivanja (EUR/a)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[1]FinaIndikatori!$E$37:$Y$37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2B-4883-AE81-ED7DD45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76038656"/>
        <c:axId val="235692608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02B-4883-AE81-ED7DD45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76038656"/>
        <c:axId val="235692608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[1]FinaIndikatori!$E$3:$Y$3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[1]FinaIndikatori!$E$39:$Y$39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E02B-4883-AE81-ED7DD459FB49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02B-4883-AE81-ED7DD459FB49}"/>
                  </c:ext>
                </c:extLst>
              </c15:ser>
            </c15:filteredLineSeries>
          </c:ext>
        </c:extLst>
      </c:lineChart>
      <c:catAx>
        <c:axId val="276038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692608"/>
        <c:crosses val="autoZero"/>
        <c:auto val="1"/>
        <c:lblAlgn val="ctr"/>
        <c:lblOffset val="100"/>
        <c:noMultiLvlLbl val="0"/>
      </c:catAx>
      <c:valAx>
        <c:axId val="23569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03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H$10" lockText="1" noThreeD="1"/>
</file>

<file path=xl/ctrlProps/ctrlProp2.xml><?xml version="1.0" encoding="utf-8"?>
<formControlPr xmlns="http://schemas.microsoft.com/office/spreadsheetml/2009/9/main" objectType="CheckBox" fmlaLink="$H$1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533400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86575" y="0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30</xdr:row>
      <xdr:rowOff>0</xdr:rowOff>
    </xdr:from>
    <xdr:to>
      <xdr:col>2</xdr:col>
      <xdr:colOff>534200</xdr:colOff>
      <xdr:row>32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950" cy="390178"/>
        </a:xfrm>
        <a:prstGeom prst="rect">
          <a:avLst/>
        </a:prstGeom>
      </xdr:spPr>
    </xdr:pic>
    <xdr:clientData fLocksWithSheet="0"/>
  </xdr:twoCellAnchor>
  <xdr:twoCellAnchor>
    <xdr:from>
      <xdr:col>6</xdr:col>
      <xdr:colOff>314325</xdr:colOff>
      <xdr:row>17</xdr:row>
      <xdr:rowOff>23812</xdr:rowOff>
    </xdr:from>
    <xdr:to>
      <xdr:col>14</xdr:col>
      <xdr:colOff>9525</xdr:colOff>
      <xdr:row>31</xdr:row>
      <xdr:rowOff>100012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3175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45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38950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9</xdr:row>
      <xdr:rowOff>9525</xdr:rowOff>
    </xdr:from>
    <xdr:to>
      <xdr:col>16</xdr:col>
      <xdr:colOff>571500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 fPrint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20</xdr:row>
      <xdr:rowOff>190153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7" name="Picture 6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76200</xdr:colOff>
      <xdr:row>1</xdr:row>
      <xdr:rowOff>0</xdr:rowOff>
    </xdr:from>
    <xdr:to>
      <xdr:col>8</xdr:col>
      <xdr:colOff>45720</xdr:colOff>
      <xdr:row>4</xdr:row>
      <xdr:rowOff>7620</xdr:rowOff>
    </xdr:to>
    <xdr:pic>
      <xdr:nvPicPr>
        <xdr:cNvPr id="8" name="Picture 7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400050</xdr:colOff>
      <xdr:row>14</xdr:row>
      <xdr:rowOff>0</xdr:rowOff>
    </xdr:from>
    <xdr:to>
      <xdr:col>15</xdr:col>
      <xdr:colOff>229400</xdr:colOff>
      <xdr:row>16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96600" y="1714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2</xdr:col>
      <xdr:colOff>0</xdr:colOff>
      <xdr:row>0</xdr:row>
      <xdr:rowOff>0</xdr:rowOff>
    </xdr:from>
    <xdr:to>
      <xdr:col>4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95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9</xdr:row>
          <xdr:rowOff>0</xdr:rowOff>
        </xdr:from>
        <xdr:to>
          <xdr:col>6</xdr:col>
          <xdr:colOff>333375</xdr:colOff>
          <xdr:row>10</xdr:row>
          <xdr:rowOff>19050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10</xdr:row>
          <xdr:rowOff>180975</xdr:rowOff>
        </xdr:from>
        <xdr:to>
          <xdr:col>6</xdr:col>
          <xdr:colOff>333375</xdr:colOff>
          <xdr:row>12</xdr:row>
          <xdr:rowOff>9525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13</xdr:col>
      <xdr:colOff>85725</xdr:colOff>
      <xdr:row>11</xdr:row>
      <xdr:rowOff>0</xdr:rowOff>
    </xdr:from>
    <xdr:to>
      <xdr:col>13</xdr:col>
      <xdr:colOff>524675</xdr:colOff>
      <xdr:row>13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344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0</xdr:rowOff>
    </xdr:from>
    <xdr:to>
      <xdr:col>10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166684</xdr:colOff>
      <xdr:row>6</xdr:row>
      <xdr:rowOff>47624</xdr:rowOff>
    </xdr:from>
    <xdr:to>
      <xdr:col>11</xdr:col>
      <xdr:colOff>605634</xdr:colOff>
      <xdr:row>7</xdr:row>
      <xdr:rowOff>175865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93903" y="47624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9031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77246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1531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R27" sqref="R27"/>
    </sheetView>
  </sheetViews>
  <sheetFormatPr defaultRowHeight="15" x14ac:dyDescent="0.25"/>
  <sheetData>
    <row r="3" spans="2:18" ht="16.5" x14ac:dyDescent="0.35">
      <c r="F3" s="64" t="s">
        <v>177</v>
      </c>
      <c r="G3" s="64"/>
      <c r="H3" s="64"/>
      <c r="I3" s="64"/>
    </row>
    <row r="7" spans="2:18" x14ac:dyDescent="0.25">
      <c r="B7" s="65" t="s">
        <v>0</v>
      </c>
      <c r="C7" s="65"/>
      <c r="D7" s="65"/>
      <c r="E7" s="65"/>
      <c r="F7" s="65"/>
      <c r="G7" s="65"/>
      <c r="H7" s="65"/>
      <c r="I7" s="65"/>
      <c r="J7" s="65"/>
      <c r="K7" s="65"/>
    </row>
    <row r="8" spans="2:18" x14ac:dyDescent="0.25">
      <c r="B8" s="65"/>
      <c r="C8" s="65"/>
      <c r="D8" s="65"/>
      <c r="E8" s="65"/>
      <c r="F8" s="65"/>
      <c r="G8" s="65"/>
      <c r="H8" s="65"/>
      <c r="I8" s="65"/>
      <c r="J8" s="65"/>
      <c r="K8" s="65"/>
    </row>
    <row r="9" spans="2:18" x14ac:dyDescent="0.25">
      <c r="B9" s="65"/>
      <c r="C9" s="65"/>
      <c r="D9" s="65"/>
      <c r="E9" s="65"/>
      <c r="F9" s="65"/>
      <c r="G9" s="65"/>
      <c r="H9" s="65"/>
      <c r="I9" s="65"/>
      <c r="J9" s="65"/>
      <c r="K9" s="65"/>
      <c r="M9" s="66" t="s">
        <v>2</v>
      </c>
      <c r="N9" s="66"/>
      <c r="O9" s="66"/>
      <c r="P9" s="66"/>
      <c r="Q9" s="66"/>
      <c r="R9" s="66"/>
    </row>
    <row r="10" spans="2:18" x14ac:dyDescent="0.25">
      <c r="B10" s="65"/>
      <c r="C10" s="65"/>
      <c r="D10" s="65"/>
      <c r="E10" s="65"/>
      <c r="F10" s="65"/>
      <c r="G10" s="65"/>
      <c r="H10" s="65"/>
      <c r="I10" s="65"/>
      <c r="J10" s="65"/>
      <c r="K10" s="65"/>
      <c r="M10" s="66"/>
      <c r="N10" s="66"/>
      <c r="O10" s="66"/>
      <c r="P10" s="66"/>
      <c r="Q10" s="66"/>
      <c r="R10" s="66"/>
    </row>
    <row r="11" spans="2:18" x14ac:dyDescent="0.25">
      <c r="B11" s="65"/>
      <c r="C11" s="65"/>
      <c r="D11" s="65"/>
      <c r="E11" s="65"/>
      <c r="F11" s="65"/>
      <c r="G11" s="65"/>
      <c r="H11" s="65"/>
      <c r="I11" s="65"/>
      <c r="J11" s="65"/>
      <c r="K11" s="65"/>
    </row>
    <row r="12" spans="2:18" x14ac:dyDescent="0.25">
      <c r="B12" s="65"/>
      <c r="C12" s="65"/>
      <c r="D12" s="65"/>
      <c r="E12" s="65"/>
      <c r="F12" s="65"/>
      <c r="G12" s="65"/>
      <c r="H12" s="65"/>
      <c r="I12" s="65"/>
      <c r="J12" s="65"/>
      <c r="K12" s="65"/>
      <c r="M12" s="67" t="s">
        <v>37</v>
      </c>
      <c r="N12" s="67"/>
      <c r="O12" s="67"/>
      <c r="P12" s="67"/>
      <c r="Q12" s="67"/>
      <c r="R12" s="67"/>
    </row>
    <row r="13" spans="2:18" x14ac:dyDescent="0.25">
      <c r="B13" s="65"/>
      <c r="C13" s="65"/>
      <c r="D13" s="65"/>
      <c r="E13" s="65"/>
      <c r="F13" s="65"/>
      <c r="G13" s="65"/>
      <c r="H13" s="65"/>
      <c r="I13" s="65"/>
      <c r="J13" s="65"/>
      <c r="K13" s="65"/>
    </row>
    <row r="14" spans="2:18" ht="15" customHeight="1" x14ac:dyDescent="0.25">
      <c r="B14" s="65"/>
      <c r="C14" s="65"/>
      <c r="D14" s="65"/>
      <c r="E14" s="65"/>
      <c r="F14" s="65"/>
      <c r="G14" s="65"/>
      <c r="H14" s="65"/>
      <c r="I14" s="65"/>
      <c r="J14" s="65"/>
      <c r="K14" s="65"/>
      <c r="M14" s="68" t="s">
        <v>120</v>
      </c>
      <c r="N14" s="68"/>
      <c r="P14" s="31"/>
      <c r="Q14" s="69" t="s">
        <v>121</v>
      </c>
      <c r="R14" s="69"/>
    </row>
    <row r="15" spans="2:18" ht="15" customHeight="1" x14ac:dyDescent="0.25">
      <c r="B15" s="65"/>
      <c r="C15" s="65"/>
      <c r="D15" s="65"/>
      <c r="E15" s="65"/>
      <c r="F15" s="65"/>
      <c r="G15" s="65"/>
      <c r="H15" s="65"/>
      <c r="I15" s="65"/>
      <c r="J15" s="65"/>
      <c r="K15" s="65"/>
      <c r="M15" s="68"/>
      <c r="N15" s="68"/>
      <c r="P15" s="31"/>
      <c r="Q15" s="69"/>
      <c r="R15" s="69"/>
    </row>
    <row r="16" spans="2:18" x14ac:dyDescent="0.25">
      <c r="B16" s="65"/>
      <c r="C16" s="65"/>
      <c r="D16" s="65"/>
      <c r="E16" s="65"/>
      <c r="F16" s="65"/>
      <c r="G16" s="65"/>
      <c r="H16" s="65"/>
      <c r="I16" s="65"/>
      <c r="J16" s="65"/>
      <c r="K16" s="65"/>
    </row>
    <row r="17" spans="2:11" x14ac:dyDescent="0.25">
      <c r="B17" s="65"/>
      <c r="C17" s="65"/>
      <c r="D17" s="65"/>
      <c r="E17" s="65"/>
      <c r="F17" s="65"/>
      <c r="G17" s="65"/>
      <c r="H17" s="65"/>
      <c r="I17" s="65"/>
      <c r="J17" s="65"/>
      <c r="K17" s="65"/>
    </row>
    <row r="18" spans="2:11" x14ac:dyDescent="0.25">
      <c r="B18" s="65"/>
      <c r="C18" s="65"/>
      <c r="D18" s="65"/>
      <c r="E18" s="65"/>
      <c r="F18" s="65"/>
      <c r="G18" s="65"/>
      <c r="H18" s="65"/>
      <c r="I18" s="65"/>
      <c r="J18" s="65"/>
      <c r="K18" s="65"/>
    </row>
    <row r="19" spans="2:11" x14ac:dyDescent="0.25">
      <c r="B19" s="65"/>
      <c r="C19" s="65"/>
      <c r="D19" s="65"/>
      <c r="E19" s="65"/>
      <c r="F19" s="65"/>
      <c r="G19" s="65"/>
      <c r="H19" s="65"/>
      <c r="I19" s="65"/>
      <c r="J19" s="65"/>
      <c r="K19" s="65"/>
    </row>
    <row r="20" spans="2:11" x14ac:dyDescent="0.25">
      <c r="B20" s="65"/>
      <c r="C20" s="65"/>
      <c r="D20" s="65"/>
      <c r="E20" s="65"/>
      <c r="F20" s="65"/>
      <c r="G20" s="65"/>
      <c r="H20" s="65"/>
      <c r="I20" s="65"/>
      <c r="J20" s="65"/>
      <c r="K20" s="65"/>
    </row>
    <row r="21" spans="2:11" x14ac:dyDescent="0.25">
      <c r="B21" s="65"/>
      <c r="C21" s="65"/>
      <c r="D21" s="65"/>
      <c r="E21" s="65"/>
      <c r="F21" s="65"/>
      <c r="G21" s="65"/>
      <c r="H21" s="65"/>
      <c r="I21" s="65"/>
      <c r="J21" s="65"/>
      <c r="K21" s="65"/>
    </row>
    <row r="22" spans="2:11" x14ac:dyDescent="0.25">
      <c r="B22" s="65"/>
      <c r="C22" s="65"/>
      <c r="D22" s="65"/>
      <c r="E22" s="65"/>
      <c r="F22" s="65"/>
      <c r="G22" s="65"/>
      <c r="H22" s="65"/>
      <c r="I22" s="65"/>
      <c r="J22" s="65"/>
      <c r="K22" s="65"/>
    </row>
    <row r="23" spans="2:11" x14ac:dyDescent="0.25">
      <c r="B23" s="65"/>
      <c r="C23" s="65"/>
      <c r="D23" s="65"/>
      <c r="E23" s="65"/>
      <c r="F23" s="65"/>
      <c r="G23" s="65"/>
      <c r="H23" s="65"/>
      <c r="I23" s="65"/>
      <c r="J23" s="65"/>
      <c r="K23" s="65"/>
    </row>
    <row r="24" spans="2:11" x14ac:dyDescent="0.25">
      <c r="B24" s="65"/>
      <c r="C24" s="65"/>
      <c r="D24" s="65"/>
      <c r="E24" s="65"/>
      <c r="F24" s="65"/>
      <c r="G24" s="65"/>
      <c r="H24" s="65"/>
      <c r="I24" s="65"/>
      <c r="J24" s="65"/>
      <c r="K24" s="65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M3" sqref="M3"/>
    </sheetView>
  </sheetViews>
  <sheetFormatPr defaultRowHeight="15" x14ac:dyDescent="0.25"/>
  <sheetData>
    <row r="3" spans="1:9" ht="16.5" x14ac:dyDescent="0.35">
      <c r="F3" s="64" t="s">
        <v>177</v>
      </c>
      <c r="G3" s="64"/>
      <c r="H3" s="64"/>
      <c r="I3" s="64"/>
    </row>
    <row r="7" spans="1:9" ht="15" customHeight="1" x14ac:dyDescent="0.25">
      <c r="A7" s="66" t="s">
        <v>97</v>
      </c>
      <c r="B7" s="66"/>
      <c r="C7" s="66"/>
      <c r="D7" s="66"/>
    </row>
    <row r="8" spans="1:9" ht="15" customHeight="1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120</v>
      </c>
      <c r="B11" s="68"/>
      <c r="C11" s="69" t="s">
        <v>121</v>
      </c>
      <c r="D11" s="69"/>
    </row>
    <row r="12" spans="1:9" x14ac:dyDescent="0.25">
      <c r="A12" s="68"/>
      <c r="B12" s="68"/>
      <c r="C12" s="69"/>
      <c r="D12" s="6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20"/>
  <sheetViews>
    <sheetView workbookViewId="0">
      <selection activeCell="F16" sqref="F16"/>
    </sheetView>
  </sheetViews>
  <sheetFormatPr defaultRowHeight="15" x14ac:dyDescent="0.25"/>
  <cols>
    <col min="6" max="6" width="10.42578125" customWidth="1"/>
  </cols>
  <sheetData>
    <row r="2" spans="1:28" ht="16.5" x14ac:dyDescent="0.35">
      <c r="F2" s="64" t="s">
        <v>177</v>
      </c>
      <c r="G2" s="64"/>
      <c r="H2" s="64"/>
      <c r="I2" s="64"/>
    </row>
    <row r="7" spans="1:28" x14ac:dyDescent="0.25">
      <c r="A7" s="81" t="s">
        <v>98</v>
      </c>
      <c r="B7" s="81"/>
      <c r="C7" s="81"/>
      <c r="D7" s="81"/>
      <c r="I7" s="68" t="s">
        <v>120</v>
      </c>
      <c r="J7" s="68"/>
      <c r="N7" s="69" t="s">
        <v>121</v>
      </c>
      <c r="O7" s="69"/>
    </row>
    <row r="8" spans="1:28" x14ac:dyDescent="0.25">
      <c r="A8" s="81"/>
      <c r="B8" s="81"/>
      <c r="C8" s="81"/>
      <c r="D8" s="81"/>
      <c r="I8" s="68"/>
      <c r="J8" s="68"/>
      <c r="N8" s="69"/>
      <c r="O8" s="69"/>
    </row>
    <row r="10" spans="1:28" x14ac:dyDescent="0.25">
      <c r="A10" s="73" t="s">
        <v>99</v>
      </c>
      <c r="B10" s="73"/>
      <c r="C10" s="73"/>
      <c r="D10" s="73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  <c r="Z10" s="15"/>
      <c r="AA10" s="15"/>
      <c r="AB10" s="15"/>
    </row>
    <row r="12" spans="1:28" x14ac:dyDescent="0.25">
      <c r="A12" s="75" t="s">
        <v>100</v>
      </c>
      <c r="B12" s="75"/>
      <c r="C12" s="75"/>
      <c r="D12" s="75"/>
      <c r="E12" s="2"/>
      <c r="F12" s="2">
        <f>Investment</f>
        <v>44000</v>
      </c>
    </row>
    <row r="13" spans="1:28" x14ac:dyDescent="0.25">
      <c r="A13" s="75" t="s">
        <v>101</v>
      </c>
      <c r="B13" s="75"/>
      <c r="C13" s="75"/>
      <c r="D13" s="75"/>
      <c r="F13" s="2">
        <f>IF(F10&lt;&gt;"",-(FinaIndicators!F28+FinaIndicators!F33),"")</f>
        <v>15096.658816472165</v>
      </c>
      <c r="G13" s="2">
        <f>IF(G10&lt;&gt;"",-(FinaIndicators!G28+FinaIndicators!G33),"")</f>
        <v>14994.9708804276</v>
      </c>
      <c r="H13" s="2">
        <f>IF(H10&lt;&gt;"",-(FinaIndicators!H28+FinaIndicators!H33),"")</f>
        <v>14881.080392057685</v>
      </c>
      <c r="I13" s="2">
        <f>IF(I10&lt;&gt;"",-(FinaIndicators!I28+FinaIndicators!I33),"")</f>
        <v>14753.523045083384</v>
      </c>
      <c r="J13" s="2">
        <f>IF(J10&lt;&gt;"",-(FinaIndicators!J28+FinaIndicators!J33),"")</f>
        <v>5721.3290362185389</v>
      </c>
      <c r="K13" s="2">
        <f>IF(K10&lt;&gt;"",-(FinaIndicators!K28+FinaIndicators!K33),"")</f>
        <v>5721.3290362185389</v>
      </c>
      <c r="L13" s="2">
        <f>IF(L10&lt;&gt;"",-(FinaIndicators!L28+FinaIndicators!L33),"")</f>
        <v>5721.3290362185389</v>
      </c>
      <c r="M13" s="2">
        <f>IF(M10&lt;&gt;"",-(FinaIndicators!M28+FinaIndicators!M33),"")</f>
        <v>5721.3290362185389</v>
      </c>
      <c r="N13" s="2">
        <f>IF(N10&lt;&gt;"",-(FinaIndicators!N28+FinaIndicators!N33),"")</f>
        <v>5721.3290362185389</v>
      </c>
      <c r="O13" s="2">
        <f>IF(O10&lt;&gt;"",-(FinaIndicators!O28+FinaIndicators!O33),"")</f>
        <v>5721.3290362185389</v>
      </c>
      <c r="P13" s="2">
        <f>IF(P10&lt;&gt;"",-(FinaIndicators!P28+FinaIndicators!P33),"")</f>
        <v>5721.3290362185389</v>
      </c>
      <c r="Q13" s="2">
        <f>IF(Q10&lt;&gt;"",-(FinaIndicators!Q28+FinaIndicators!Q33),"")</f>
        <v>5721.3290362185389</v>
      </c>
      <c r="R13" s="2">
        <f>IF(R10&lt;&gt;"",-(FinaIndicators!R28+FinaIndicators!R33),"")</f>
        <v>5721.3290362185389</v>
      </c>
      <c r="S13" s="2">
        <f>IF(S10&lt;&gt;"",-(FinaIndicators!S28+FinaIndicators!S33),"")</f>
        <v>5721.3290362185389</v>
      </c>
      <c r="T13" s="2">
        <f>IF(T10&lt;&gt;"",-(FinaIndicators!T28+FinaIndicators!T33),"")</f>
        <v>5721.3290362185389</v>
      </c>
      <c r="U13" s="2">
        <f>IF(U10&lt;&gt;"",-(FinaIndicators!U28+FinaIndicators!U33),"")</f>
        <v>5721.3290362185389</v>
      </c>
      <c r="V13" s="2">
        <f>IF(V10&lt;&gt;"",-(FinaIndicators!V28+FinaIndicators!V33),"")</f>
        <v>5721.3290362185389</v>
      </c>
      <c r="W13" s="2">
        <f>IF(W10&lt;&gt;"",-(FinaIndicators!W28+FinaIndicators!W33),"")</f>
        <v>5721.3290362185389</v>
      </c>
      <c r="X13" s="2">
        <f>IF(X10&lt;&gt;"",-(FinaIndicators!X28+FinaIndicators!X33),"")</f>
        <v>5721.3290362185389</v>
      </c>
      <c r="Y13" s="2">
        <f>IF(Y10&lt;&gt;"",-(FinaIndicators!Y28+FinaIndicators!Y33),"")</f>
        <v>5721.3290362185389</v>
      </c>
    </row>
    <row r="14" spans="1:28" x14ac:dyDescent="0.25">
      <c r="A14" s="75" t="s">
        <v>102</v>
      </c>
      <c r="B14" s="75"/>
      <c r="C14" s="75"/>
      <c r="D14" s="75"/>
      <c r="E14" s="2"/>
      <c r="F14" s="2">
        <f t="shared" ref="F14:Y14" si="0">IF(F10&lt;&gt;"",F12+F13,"")</f>
        <v>59096.658816472162</v>
      </c>
      <c r="G14" s="2">
        <f t="shared" si="0"/>
        <v>14994.9708804276</v>
      </c>
      <c r="H14" s="2">
        <f t="shared" si="0"/>
        <v>14881.080392057685</v>
      </c>
      <c r="I14" s="2">
        <f t="shared" si="0"/>
        <v>14753.523045083384</v>
      </c>
      <c r="J14" s="2">
        <f t="shared" si="0"/>
        <v>5721.3290362185389</v>
      </c>
      <c r="K14" s="2">
        <f t="shared" si="0"/>
        <v>5721.3290362185389</v>
      </c>
      <c r="L14" s="2">
        <f t="shared" si="0"/>
        <v>5721.3290362185389</v>
      </c>
      <c r="M14" s="2">
        <f t="shared" si="0"/>
        <v>5721.3290362185389</v>
      </c>
      <c r="N14" s="2">
        <f t="shared" si="0"/>
        <v>5721.3290362185389</v>
      </c>
      <c r="O14" s="2">
        <f t="shared" si="0"/>
        <v>5721.3290362185389</v>
      </c>
      <c r="P14" s="2">
        <f t="shared" si="0"/>
        <v>5721.3290362185389</v>
      </c>
      <c r="Q14" s="2">
        <f t="shared" si="0"/>
        <v>5721.3290362185389</v>
      </c>
      <c r="R14" s="2">
        <f t="shared" si="0"/>
        <v>5721.3290362185389</v>
      </c>
      <c r="S14" s="2">
        <f t="shared" si="0"/>
        <v>5721.3290362185389</v>
      </c>
      <c r="T14" s="2">
        <f t="shared" si="0"/>
        <v>5721.3290362185389</v>
      </c>
      <c r="U14" s="2">
        <f t="shared" si="0"/>
        <v>5721.3290362185389</v>
      </c>
      <c r="V14" s="2">
        <f t="shared" si="0"/>
        <v>5721.3290362185389</v>
      </c>
      <c r="W14" s="2">
        <f t="shared" si="0"/>
        <v>5721.3290362185389</v>
      </c>
      <c r="X14" s="2">
        <f t="shared" si="0"/>
        <v>5721.3290362185389</v>
      </c>
      <c r="Y14" s="2">
        <f t="shared" si="0"/>
        <v>5721.3290362185389</v>
      </c>
    </row>
    <row r="15" spans="1:28" x14ac:dyDescent="0.25">
      <c r="A15" s="76"/>
      <c r="B15" s="76"/>
      <c r="C15" s="76"/>
      <c r="D15" s="76"/>
    </row>
    <row r="16" spans="1:28" x14ac:dyDescent="0.25">
      <c r="A16" s="75" t="s">
        <v>90</v>
      </c>
      <c r="B16" s="75"/>
      <c r="C16" s="75"/>
      <c r="D16" s="75"/>
      <c r="F16" s="2">
        <f>IF(F10&lt;&gt;"",FinaIndicators!F14,"")</f>
        <v>128.4</v>
      </c>
      <c r="G16" s="2">
        <f>IF(G10&lt;&gt;"",FinaIndicators!G14,"")</f>
        <v>128.4</v>
      </c>
      <c r="H16" s="2">
        <f>IF(H10&lt;&gt;"",FinaIndicators!H14,"")</f>
        <v>128.4</v>
      </c>
      <c r="I16" s="2">
        <f>IF(I10&lt;&gt;"",FinaIndicators!I14,"")</f>
        <v>128.4</v>
      </c>
      <c r="J16" s="2">
        <f>IF(J10&lt;&gt;"",FinaIndicators!J14,"")</f>
        <v>128.4</v>
      </c>
      <c r="K16" s="2">
        <f>IF(K10&lt;&gt;"",FinaIndicators!K14,"")</f>
        <v>128.4</v>
      </c>
      <c r="L16" s="2">
        <f>IF(L10&lt;&gt;"",FinaIndicators!L14,"")</f>
        <v>128.4</v>
      </c>
      <c r="M16" s="2">
        <f>IF(M10&lt;&gt;"",FinaIndicators!M14,"")</f>
        <v>128.4</v>
      </c>
      <c r="N16" s="2">
        <f>IF(N10&lt;&gt;"",FinaIndicators!N14,"")</f>
        <v>128.4</v>
      </c>
      <c r="O16" s="2">
        <f>IF(O10&lt;&gt;"",FinaIndicators!O14,"")</f>
        <v>128.4</v>
      </c>
      <c r="P16" s="2">
        <f>IF(P10&lt;&gt;"",FinaIndicators!P14,"")</f>
        <v>128.4</v>
      </c>
      <c r="Q16" s="2">
        <f>IF(Q10&lt;&gt;"",FinaIndicators!Q14,"")</f>
        <v>128.4</v>
      </c>
      <c r="R16" s="2">
        <f>IF(R10&lt;&gt;"",FinaIndicators!R14,"")</f>
        <v>128.4</v>
      </c>
      <c r="S16" s="2">
        <f>IF(S10&lt;&gt;"",FinaIndicators!S14,"")</f>
        <v>128.4</v>
      </c>
      <c r="T16" s="2">
        <f>IF(T10&lt;&gt;"",FinaIndicators!T14,"")</f>
        <v>128.4</v>
      </c>
      <c r="U16" s="2">
        <f>IF(U10&lt;&gt;"",FinaIndicators!U14,"")</f>
        <v>128.4</v>
      </c>
      <c r="V16" s="2">
        <f>IF(V10&lt;&gt;"",FinaIndicators!V14,"")</f>
        <v>128.4</v>
      </c>
      <c r="W16" s="2">
        <f>IF(W10&lt;&gt;"",FinaIndicators!W14,"")</f>
        <v>128.4</v>
      </c>
      <c r="X16" s="2">
        <f>IF(X10&lt;&gt;"",FinaIndicators!X14,"")</f>
        <v>128.4</v>
      </c>
      <c r="Y16" s="2">
        <f>IF(Y10&lt;&gt;"",FinaIndicators!Y14,"")</f>
        <v>128.4</v>
      </c>
    </row>
    <row r="17" spans="1:25" ht="18" x14ac:dyDescent="0.35">
      <c r="A17" s="75" t="s">
        <v>103</v>
      </c>
      <c r="B17" s="75"/>
      <c r="C17" s="75"/>
      <c r="D17" s="75"/>
      <c r="F17" s="2">
        <f>IF(F10&lt;&gt;"",F16*UnosPodataka!$M$23,"")</f>
        <v>0.62916000000000005</v>
      </c>
      <c r="G17" s="2">
        <f>IF(G10&lt;&gt;"",G16*UnosPodataka!$M$23,"")</f>
        <v>0.62916000000000005</v>
      </c>
      <c r="H17" s="2">
        <f>IF(H10&lt;&gt;"",H16*UnosPodataka!$M$23,"")</f>
        <v>0.62916000000000005</v>
      </c>
      <c r="I17" s="2">
        <f>IF(I10&lt;&gt;"",I16*UnosPodataka!$M$23,"")</f>
        <v>0.62916000000000005</v>
      </c>
      <c r="J17" s="2">
        <f>IF(J10&lt;&gt;"",J16*UnosPodataka!$M$23,"")</f>
        <v>0.62916000000000005</v>
      </c>
      <c r="K17" s="2">
        <f>IF(K10&lt;&gt;"",K16*UnosPodataka!$M$23,"")</f>
        <v>0.62916000000000005</v>
      </c>
      <c r="L17" s="2">
        <f>IF(L10&lt;&gt;"",L16*UnosPodataka!$M$23,"")</f>
        <v>0.62916000000000005</v>
      </c>
      <c r="M17" s="2">
        <f>IF(M10&lt;&gt;"",M16*UnosPodataka!$M$23,"")</f>
        <v>0.62916000000000005</v>
      </c>
      <c r="N17" s="2">
        <f>IF(N10&lt;&gt;"",N16*UnosPodataka!$M$23,"")</f>
        <v>0.62916000000000005</v>
      </c>
      <c r="O17" s="2">
        <f>IF(O10&lt;&gt;"",O16*UnosPodataka!$M$23,"")</f>
        <v>0.62916000000000005</v>
      </c>
      <c r="P17" s="2">
        <f>IF(P10&lt;&gt;"",P16*UnosPodataka!$M$23,"")</f>
        <v>0.62916000000000005</v>
      </c>
      <c r="Q17" s="2">
        <f>IF(Q10&lt;&gt;"",Q16*UnosPodataka!$M$23,"")</f>
        <v>0.62916000000000005</v>
      </c>
      <c r="R17" s="2">
        <f>IF(R10&lt;&gt;"",R16*UnosPodataka!$M$23,"")</f>
        <v>0.62916000000000005</v>
      </c>
      <c r="S17" s="2">
        <f>IF(S10&lt;&gt;"",S16*UnosPodataka!$M$23,"")</f>
        <v>0.62916000000000005</v>
      </c>
      <c r="T17" s="2">
        <f>IF(T10&lt;&gt;"",T16*UnosPodataka!$M$23,"")</f>
        <v>0.62916000000000005</v>
      </c>
      <c r="U17" s="2">
        <f>IF(U10&lt;&gt;"",U16*UnosPodataka!$M$23,"")</f>
        <v>0.62916000000000005</v>
      </c>
      <c r="V17" s="2">
        <f>IF(V10&lt;&gt;"",V16*UnosPodataka!$M$23,"")</f>
        <v>0.62916000000000005</v>
      </c>
      <c r="W17" s="2">
        <f>IF(W10&lt;&gt;"",W16*UnosPodataka!$M$23,"")</f>
        <v>0.62916000000000005</v>
      </c>
      <c r="X17" s="2">
        <f>IF(X10&lt;&gt;"",X16*UnosPodataka!$M$23,"")</f>
        <v>0.62916000000000005</v>
      </c>
      <c r="Y17" s="2">
        <f>IF(Y10&lt;&gt;"",Y16*UnosPodataka!$M$23,"")</f>
        <v>0.62916000000000005</v>
      </c>
    </row>
    <row r="19" spans="1:25" x14ac:dyDescent="0.25">
      <c r="A19" s="73" t="s">
        <v>30</v>
      </c>
      <c r="B19" s="73"/>
      <c r="C19" s="73"/>
      <c r="D19" s="73"/>
      <c r="E19" s="2">
        <f>NPV(UnosPodataka!M18,LCoEE!F14:Y14)/NPV(UnosPodataka!M18,LCoEE!F16:Y16)</f>
        <v>94.4335276558201</v>
      </c>
    </row>
    <row r="20" spans="1:25" ht="18" x14ac:dyDescent="0.35">
      <c r="A20" s="73" t="s">
        <v>31</v>
      </c>
      <c r="B20" s="73"/>
      <c r="C20" s="73"/>
      <c r="D20" s="73"/>
      <c r="E20" s="2">
        <f>NPV(UnosPodataka!M18,LCoEE!F14:Y14)/NPV(UnosPodataka!M18,LCoEE!F17:Y17)</f>
        <v>19272.148501187781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2:I2"/>
    <mergeCell ref="I7:J8"/>
    <mergeCell ref="N7:O8"/>
    <mergeCell ref="A16:D16"/>
    <mergeCell ref="A17:D17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5"/>
  <sheetViews>
    <sheetView topLeftCell="A6" workbookViewId="0">
      <selection activeCell="J15" sqref="J15"/>
    </sheetView>
  </sheetViews>
  <sheetFormatPr defaultRowHeight="15" x14ac:dyDescent="0.25"/>
  <cols>
    <col min="1" max="1" width="12.85546875" customWidth="1"/>
    <col min="2" max="2" width="12.42578125" customWidth="1"/>
    <col min="4" max="4" width="11.7109375" customWidth="1"/>
  </cols>
  <sheetData>
    <row r="3" spans="1:8" ht="16.5" x14ac:dyDescent="0.35">
      <c r="E3" s="64" t="s">
        <v>177</v>
      </c>
      <c r="F3" s="64"/>
      <c r="G3" s="64"/>
      <c r="H3" s="64"/>
    </row>
    <row r="7" spans="1:8" ht="21" x14ac:dyDescent="0.35">
      <c r="A7" s="71" t="s">
        <v>104</v>
      </c>
      <c r="B7" s="71"/>
      <c r="C7" s="71"/>
      <c r="D7" s="71"/>
    </row>
    <row r="9" spans="1:8" ht="15.75" thickBot="1" x14ac:dyDescent="0.3"/>
    <row r="10" spans="1:8" ht="15.75" thickBot="1" x14ac:dyDescent="0.3">
      <c r="B10" s="43" t="s">
        <v>168</v>
      </c>
      <c r="C10" s="44"/>
      <c r="D10" s="43" t="s">
        <v>169</v>
      </c>
      <c r="E10" s="44"/>
    </row>
    <row r="11" spans="1:8" ht="15.75" thickBot="1" x14ac:dyDescent="0.3">
      <c r="B11" s="45" t="s">
        <v>170</v>
      </c>
      <c r="C11" s="45" t="s">
        <v>171</v>
      </c>
      <c r="D11" s="45" t="s">
        <v>170</v>
      </c>
      <c r="E11" s="45" t="s">
        <v>171</v>
      </c>
    </row>
    <row r="13" spans="1:8" x14ac:dyDescent="0.25">
      <c r="A13" s="46" t="s">
        <v>172</v>
      </c>
      <c r="B13" s="36">
        <v>14073.294494879237</v>
      </c>
      <c r="C13" s="47">
        <v>0.13081468496920889</v>
      </c>
      <c r="D13" s="36">
        <v>84986.538401763348</v>
      </c>
      <c r="E13" s="6">
        <v>0.30485890737406107</v>
      </c>
    </row>
    <row r="14" spans="1:8" x14ac:dyDescent="0.25">
      <c r="B14" s="36"/>
      <c r="D14" s="36"/>
    </row>
    <row r="15" spans="1:8" x14ac:dyDescent="0.25">
      <c r="A15" s="46" t="s">
        <v>113</v>
      </c>
      <c r="B15" s="36"/>
      <c r="D15" s="36"/>
    </row>
    <row r="16" spans="1:8" x14ac:dyDescent="0.25">
      <c r="A16" s="17">
        <v>0.1</v>
      </c>
      <c r="B16" s="36">
        <v>23022.074060343301</v>
      </c>
      <c r="C16" s="47">
        <v>0.15228351604054491</v>
      </c>
      <c r="D16" s="36">
        <v>93950.653761960566</v>
      </c>
      <c r="E16" s="6">
        <v>0.32704090683304243</v>
      </c>
    </row>
    <row r="17" spans="1:5" x14ac:dyDescent="0.25">
      <c r="A17" s="17">
        <v>-0.1</v>
      </c>
      <c r="B17" s="36">
        <v>5124.5149294152216</v>
      </c>
      <c r="C17" s="47">
        <v>0.10894884475141819</v>
      </c>
      <c r="D17" s="36">
        <v>76022.423041566246</v>
      </c>
      <c r="E17" s="6">
        <v>0.28283078092320957</v>
      </c>
    </row>
    <row r="18" spans="1:5" x14ac:dyDescent="0.25">
      <c r="A18" s="5" t="s">
        <v>173</v>
      </c>
      <c r="B18" s="47">
        <v>-0.1573</v>
      </c>
      <c r="C18" s="47"/>
      <c r="D18" s="49" t="s">
        <v>176</v>
      </c>
      <c r="E18" s="6"/>
    </row>
    <row r="19" spans="1:5" x14ac:dyDescent="0.25">
      <c r="B19" s="36"/>
      <c r="D19" s="36"/>
    </row>
    <row r="20" spans="1:5" x14ac:dyDescent="0.25">
      <c r="A20" s="46" t="s">
        <v>175</v>
      </c>
      <c r="B20" s="36"/>
      <c r="D20" s="36"/>
    </row>
    <row r="21" spans="1:5" x14ac:dyDescent="0.25">
      <c r="A21" s="17">
        <v>0.1</v>
      </c>
      <c r="B21" s="36"/>
      <c r="C21" s="47"/>
      <c r="D21" s="36">
        <v>91771.093060109139</v>
      </c>
      <c r="E21" s="6">
        <v>0.32163270552040779</v>
      </c>
    </row>
    <row r="22" spans="1:5" x14ac:dyDescent="0.25">
      <c r="A22" s="17">
        <v>-0.1</v>
      </c>
      <c r="B22" s="36"/>
      <c r="C22" s="47"/>
      <c r="D22" s="36">
        <v>78201.983743417615</v>
      </c>
      <c r="E22" s="6">
        <v>0.28817339221426996</v>
      </c>
    </row>
    <row r="23" spans="1:5" x14ac:dyDescent="0.25">
      <c r="A23" s="5" t="s">
        <v>173</v>
      </c>
      <c r="B23" s="47"/>
      <c r="C23" s="47"/>
      <c r="D23" s="49" t="s">
        <v>176</v>
      </c>
      <c r="E23" s="6"/>
    </row>
    <row r="24" spans="1:5" x14ac:dyDescent="0.25">
      <c r="B24" s="36"/>
      <c r="D24" s="36"/>
    </row>
    <row r="25" spans="1:5" x14ac:dyDescent="0.25">
      <c r="A25" s="46" t="s">
        <v>174</v>
      </c>
      <c r="B25" s="36"/>
      <c r="D25" s="36"/>
    </row>
    <row r="26" spans="1:5" x14ac:dyDescent="0.25">
      <c r="A26" s="17">
        <v>0.1</v>
      </c>
      <c r="B26" s="36">
        <v>3996.4814815248342</v>
      </c>
      <c r="C26" s="47">
        <v>0.10739257068995611</v>
      </c>
      <c r="D26" s="36">
        <v>74218.713300044459</v>
      </c>
      <c r="E26" s="6">
        <v>0.26472232717291466</v>
      </c>
    </row>
    <row r="27" spans="1:5" x14ac:dyDescent="0.25">
      <c r="A27" s="17">
        <v>-0.1</v>
      </c>
      <c r="B27" s="36">
        <v>24550.178354872409</v>
      </c>
      <c r="C27" s="47">
        <v>0.15982234794511685</v>
      </c>
      <c r="D27" s="36">
        <v>96445.85607322288</v>
      </c>
      <c r="E27" s="6">
        <v>0.35557078396911268</v>
      </c>
    </row>
    <row r="28" spans="1:5" x14ac:dyDescent="0.25">
      <c r="A28" s="5" t="s">
        <v>173</v>
      </c>
      <c r="B28" s="47">
        <v>0.14050000000000007</v>
      </c>
      <c r="C28" s="47"/>
      <c r="D28" s="47">
        <v>0.84</v>
      </c>
      <c r="E28" s="6"/>
    </row>
    <row r="29" spans="1:5" x14ac:dyDescent="0.25">
      <c r="B29" s="48"/>
      <c r="C29" s="47"/>
      <c r="D29" s="48"/>
      <c r="E29" s="6"/>
    </row>
    <row r="31" spans="1:5" x14ac:dyDescent="0.25">
      <c r="A31" s="68" t="s">
        <v>120</v>
      </c>
      <c r="B31" s="68"/>
      <c r="D31" s="69" t="s">
        <v>121</v>
      </c>
      <c r="E31" s="69"/>
    </row>
    <row r="32" spans="1:5" x14ac:dyDescent="0.25">
      <c r="A32" s="68"/>
      <c r="B32" s="68"/>
      <c r="D32" s="69"/>
      <c r="E32" s="69"/>
    </row>
    <row r="35" spans="2:5" x14ac:dyDescent="0.25">
      <c r="B35" s="36">
        <f>+FinaIndicators!$E$43</f>
        <v>14226.652442210472</v>
      </c>
      <c r="C35" s="47">
        <f>+FinaIndicators!$E$44</f>
        <v>0.13118538721517226</v>
      </c>
      <c r="D35" s="36">
        <f>+'FinInd+CO2'!$E$44</f>
        <v>16548.978963644153</v>
      </c>
      <c r="E35" s="6">
        <f>+'FinInd+CO2'!$E$45</f>
        <v>0.1376247709003342</v>
      </c>
    </row>
  </sheetData>
  <sheetProtection selectLockedCells="1" selectUnlockedCells="1"/>
  <mergeCells count="4">
    <mergeCell ref="A31:B32"/>
    <mergeCell ref="D31:E32"/>
    <mergeCell ref="A7:D7"/>
    <mergeCell ref="E3:H3"/>
  </mergeCells>
  <hyperlinks>
    <hyperlink ref="A31:B32" location="LCoEE!I1" display="NAZAD"/>
    <hyperlink ref="D31:E32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I26" sqref="I26"/>
    </sheetView>
  </sheetViews>
  <sheetFormatPr defaultRowHeight="15" x14ac:dyDescent="0.25"/>
  <cols>
    <col min="5" max="5" width="9.85546875" bestFit="1" customWidth="1"/>
  </cols>
  <sheetData>
    <row r="3" spans="1:25" ht="16.5" x14ac:dyDescent="0.35">
      <c r="F3" s="64" t="s">
        <v>177</v>
      </c>
      <c r="G3" s="64"/>
      <c r="H3" s="64"/>
      <c r="I3" s="64"/>
    </row>
    <row r="7" spans="1:25" x14ac:dyDescent="0.25">
      <c r="A7" s="66" t="s">
        <v>124</v>
      </c>
      <c r="B7" s="66"/>
      <c r="C7" s="66"/>
      <c r="D7" s="66"/>
      <c r="I7" s="68" t="s">
        <v>120</v>
      </c>
      <c r="J7" s="68"/>
      <c r="N7" s="69" t="s">
        <v>121</v>
      </c>
      <c r="O7" s="69"/>
    </row>
    <row r="8" spans="1:25" x14ac:dyDescent="0.25">
      <c r="A8" s="66"/>
      <c r="B8" s="66"/>
      <c r="C8" s="66"/>
      <c r="D8" s="66"/>
      <c r="I8" s="68"/>
      <c r="J8" s="68"/>
      <c r="N8" s="69"/>
      <c r="O8" s="69"/>
    </row>
    <row r="10" spans="1:25" x14ac:dyDescent="0.25">
      <c r="A10" s="73" t="s">
        <v>99</v>
      </c>
      <c r="B10" s="73"/>
      <c r="C10" s="73"/>
      <c r="D10" s="73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</row>
    <row r="12" spans="1:25" x14ac:dyDescent="0.25">
      <c r="A12" s="75" t="s">
        <v>125</v>
      </c>
      <c r="B12" s="75"/>
      <c r="C12" s="75"/>
      <c r="D12" s="75"/>
      <c r="E12" s="2">
        <v>0</v>
      </c>
      <c r="F12" s="2">
        <f>-FinaIndicators!F27</f>
        <v>0</v>
      </c>
      <c r="G12" s="2">
        <f>-FinaIndicators!G27</f>
        <v>0</v>
      </c>
      <c r="H12" s="2">
        <f>-FinaIndicators!H27</f>
        <v>0</v>
      </c>
      <c r="I12" s="2">
        <f>-FinaIndicators!I27</f>
        <v>0</v>
      </c>
      <c r="J12" s="2">
        <f>-FinaIndicators!J27</f>
        <v>0</v>
      </c>
      <c r="K12" s="2">
        <f>-FinaIndicators!K27</f>
        <v>0</v>
      </c>
      <c r="L12" s="2">
        <f>-FinaIndicators!L27</f>
        <v>0</v>
      </c>
      <c r="M12" s="2">
        <f>-FinaIndicators!M27</f>
        <v>0</v>
      </c>
      <c r="N12" s="2">
        <f>-FinaIndicators!N27</f>
        <v>0</v>
      </c>
      <c r="O12" s="2">
        <f>-FinaIndicators!O27</f>
        <v>0</v>
      </c>
      <c r="P12" s="2">
        <f>-FinaIndicators!P27</f>
        <v>0</v>
      </c>
      <c r="Q12" s="2">
        <f>-FinaIndicators!Q27</f>
        <v>0</v>
      </c>
      <c r="R12" s="2">
        <f>-FinaIndicators!R27</f>
        <v>0</v>
      </c>
      <c r="S12" s="2">
        <f>-FinaIndicators!S27</f>
        <v>0</v>
      </c>
      <c r="T12" s="2">
        <f>-FinaIndicators!T27</f>
        <v>0</v>
      </c>
      <c r="U12" s="2">
        <f>-FinaIndicators!U27</f>
        <v>0</v>
      </c>
      <c r="V12" s="2">
        <f>-FinaIndicators!V27</f>
        <v>0</v>
      </c>
      <c r="W12" s="2">
        <f>-FinaIndicators!W27</f>
        <v>0</v>
      </c>
      <c r="X12" s="2">
        <f>-FinaIndicators!X27</f>
        <v>0</v>
      </c>
      <c r="Y12" s="2">
        <f>-FinaIndicators!Y27</f>
        <v>0</v>
      </c>
    </row>
    <row r="13" spans="1:25" x14ac:dyDescent="0.25">
      <c r="A13" s="75" t="s">
        <v>126</v>
      </c>
      <c r="B13" s="75"/>
      <c r="C13" s="75"/>
      <c r="D13" s="75"/>
      <c r="E13" s="2">
        <v>0</v>
      </c>
      <c r="F13" s="2">
        <f>IF(F10&lt;&gt;0,F12*(1+UnosPodataka!$M$18)^(-F10),"")</f>
        <v>0</v>
      </c>
      <c r="G13" s="2">
        <f>IF(G10&lt;&gt;0,G12*(1+UnosPodataka!$M$18)^(-G10),"")</f>
        <v>0</v>
      </c>
      <c r="H13" s="2">
        <f>IF(H10&lt;&gt;0,H12*(1+UnosPodataka!$M$18)^(-H10),"")</f>
        <v>0</v>
      </c>
      <c r="I13" s="2">
        <f>IF(I10&lt;&gt;0,I12*(1+UnosPodataka!$M$18)^(-I10),"")</f>
        <v>0</v>
      </c>
      <c r="J13" s="2">
        <f>IF(J10&lt;&gt;0,J12*(1+UnosPodataka!$M$18)^(-J10),"")</f>
        <v>0</v>
      </c>
      <c r="K13" s="2">
        <f>IF(K10&lt;&gt;0,K12*(1+UnosPodataka!$M$18)^(-K10),"")</f>
        <v>0</v>
      </c>
      <c r="L13" s="2">
        <f>IF(L10&lt;&gt;0,L12*(1+UnosPodataka!$M$18)^(-L10),"")</f>
        <v>0</v>
      </c>
      <c r="M13" s="2">
        <f>IF(M10&lt;&gt;0,M12*(1+UnosPodataka!$M$18)^(-M10),"")</f>
        <v>0</v>
      </c>
      <c r="N13" s="2">
        <f>IF(N10&lt;&gt;0,N12*(1+UnosPodataka!$M$18)^(-N10),"")</f>
        <v>0</v>
      </c>
      <c r="O13" s="2">
        <f>IF(O10&lt;&gt;0,O12*(1+UnosPodataka!$M$18)^(-O10),"")</f>
        <v>0</v>
      </c>
      <c r="P13" s="2">
        <f>IF(P10&lt;&gt;0,P12*(1+UnosPodataka!$M$18)^(-P10),"")</f>
        <v>0</v>
      </c>
      <c r="Q13" s="2">
        <f>IF(Q10&lt;&gt;0,Q12*(1+UnosPodataka!$M$18)^(-Q10),"")</f>
        <v>0</v>
      </c>
      <c r="R13" s="2">
        <f>IF(R10&lt;&gt;0,R12*(1+UnosPodataka!$M$18)^(-R10),"")</f>
        <v>0</v>
      </c>
      <c r="S13" s="2">
        <f>IF(S10&lt;&gt;0,S12*(1+UnosPodataka!$M$18)^(-S10),"")</f>
        <v>0</v>
      </c>
      <c r="T13" s="2">
        <f>IF(T10&lt;&gt;0,T12*(1+UnosPodataka!$M$18)^(-T10),"")</f>
        <v>0</v>
      </c>
      <c r="U13" s="2">
        <f>IF(U10&lt;&gt;0,U12*(1+UnosPodataka!$M$18)^(-U10),"")</f>
        <v>0</v>
      </c>
      <c r="V13" s="2">
        <f>IF(V10&lt;&gt;0,V12*(1+UnosPodataka!$M$18)^(-V10),"")</f>
        <v>0</v>
      </c>
      <c r="W13" s="2">
        <f>IF(W10&lt;&gt;0,W12*(1+UnosPodataka!$M$18)^(-W10),"")</f>
        <v>0</v>
      </c>
      <c r="X13" s="2">
        <f>IF(X10&lt;&gt;0,X12*(1+UnosPodataka!$M$18)^(-X10),"")</f>
        <v>0</v>
      </c>
      <c r="Y13" s="2">
        <f>IF(Y10&lt;&gt;0,Y12*(1+UnosPodataka!$M$18)^(-Y10),"")</f>
        <v>0</v>
      </c>
    </row>
    <row r="15" spans="1:25" x14ac:dyDescent="0.25">
      <c r="A15" s="82" t="s">
        <v>28</v>
      </c>
      <c r="B15" s="82"/>
      <c r="C15" s="82"/>
      <c r="D15" s="82"/>
      <c r="E15" s="16">
        <f>NPV(UnosPodataka!M18,AkoESCO!F12:Y12)</f>
        <v>0</v>
      </c>
    </row>
    <row r="16" spans="1:25" x14ac:dyDescent="0.25">
      <c r="A16" s="82" t="s">
        <v>29</v>
      </c>
      <c r="B16" s="82"/>
      <c r="C16" s="82"/>
      <c r="D16" s="82"/>
      <c r="E16" s="5" t="s">
        <v>127</v>
      </c>
    </row>
  </sheetData>
  <mergeCells count="9">
    <mergeCell ref="F3:I3"/>
    <mergeCell ref="A13:D13"/>
    <mergeCell ref="A15:D15"/>
    <mergeCell ref="A16:D16"/>
    <mergeCell ref="I7:J8"/>
    <mergeCell ref="N7:O8"/>
    <mergeCell ref="A7:D8"/>
    <mergeCell ref="A10:D10"/>
    <mergeCell ref="A12:D12"/>
  </mergeCells>
  <hyperlinks>
    <hyperlink ref="I7:J8" location="SALCoEE!A10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U31" sqref="U31"/>
    </sheetView>
  </sheetViews>
  <sheetFormatPr defaultRowHeight="15" x14ac:dyDescent="0.25"/>
  <sheetData>
    <row r="3" spans="1:9" ht="16.5" x14ac:dyDescent="0.35">
      <c r="F3" s="64" t="s">
        <v>177</v>
      </c>
      <c r="G3" s="64"/>
      <c r="H3" s="64"/>
      <c r="I3" s="64"/>
    </row>
    <row r="7" spans="1:9" x14ac:dyDescent="0.25">
      <c r="A7" s="66" t="s">
        <v>128</v>
      </c>
      <c r="B7" s="66"/>
      <c r="C7" s="66"/>
      <c r="D7" s="66"/>
    </row>
    <row r="8" spans="1:9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120</v>
      </c>
      <c r="B11" s="68"/>
      <c r="D11" s="69" t="s">
        <v>121</v>
      </c>
      <c r="E11" s="69"/>
    </row>
    <row r="12" spans="1:9" x14ac:dyDescent="0.25">
      <c r="A12" s="68"/>
      <c r="B12" s="68"/>
      <c r="D12" s="69"/>
      <c r="E12" s="69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2"/>
  <sheetViews>
    <sheetView workbookViewId="0">
      <selection activeCell="K27" sqref="K27"/>
    </sheetView>
  </sheetViews>
  <sheetFormatPr defaultRowHeight="15" x14ac:dyDescent="0.25"/>
  <sheetData>
    <row r="3" spans="1:10" ht="16.5" x14ac:dyDescent="0.35">
      <c r="F3" s="64" t="s">
        <v>177</v>
      </c>
      <c r="G3" s="64"/>
      <c r="H3" s="64"/>
      <c r="I3" s="64"/>
    </row>
    <row r="7" spans="1:10" x14ac:dyDescent="0.25">
      <c r="A7" s="66" t="s">
        <v>129</v>
      </c>
      <c r="B7" s="66"/>
      <c r="C7" s="66"/>
      <c r="D7" s="66"/>
    </row>
    <row r="8" spans="1:10" x14ac:dyDescent="0.25">
      <c r="A8" s="66"/>
      <c r="B8" s="66"/>
      <c r="C8" s="66"/>
      <c r="D8" s="66"/>
    </row>
    <row r="9" spans="1:10" x14ac:dyDescent="0.25">
      <c r="B9" s="73" t="s">
        <v>130</v>
      </c>
      <c r="C9" s="73"/>
      <c r="D9" s="73"/>
      <c r="E9" s="76" t="str">
        <f>PROJEKAT</f>
        <v>Ugradnja cirkulacione pumpe sa promenljivim brojem obrtaja</v>
      </c>
      <c r="F9" s="76"/>
      <c r="G9" s="76"/>
      <c r="H9" s="76"/>
      <c r="I9" s="76"/>
      <c r="J9" s="76"/>
    </row>
    <row r="10" spans="1:10" x14ac:dyDescent="0.25">
      <c r="B10" s="73" t="s">
        <v>131</v>
      </c>
      <c r="C10" s="73"/>
      <c r="D10" s="73"/>
      <c r="E10" s="83">
        <f>Investment</f>
        <v>44000</v>
      </c>
      <c r="F10" s="83"/>
      <c r="G10" s="83"/>
      <c r="H10" s="83"/>
      <c r="I10" s="83"/>
    </row>
    <row r="11" spans="1:10" x14ac:dyDescent="0.25">
      <c r="B11" s="73" t="s">
        <v>132</v>
      </c>
      <c r="C11" s="73"/>
      <c r="D11" s="73"/>
      <c r="E11" s="83">
        <f>Investment-Equity-LOAN</f>
        <v>0</v>
      </c>
      <c r="F11" s="83"/>
      <c r="G11" s="83"/>
      <c r="H11" s="83"/>
      <c r="I11" s="83"/>
    </row>
    <row r="12" spans="1:10" x14ac:dyDescent="0.25">
      <c r="B12" s="73" t="s">
        <v>79</v>
      </c>
      <c r="C12" s="73"/>
      <c r="D12" s="73"/>
      <c r="E12" s="83">
        <f>Equity</f>
        <v>17000</v>
      </c>
      <c r="F12" s="83"/>
      <c r="G12" s="83"/>
      <c r="H12" s="83"/>
      <c r="I12" s="83"/>
    </row>
    <row r="13" spans="1:10" x14ac:dyDescent="0.25">
      <c r="B13" s="73" t="s">
        <v>78</v>
      </c>
      <c r="C13" s="73"/>
      <c r="D13" s="73"/>
      <c r="E13" s="83">
        <f>LOAN</f>
        <v>27000</v>
      </c>
      <c r="F13" s="83"/>
      <c r="G13" s="83"/>
      <c r="H13" s="83"/>
      <c r="I13" s="83"/>
    </row>
    <row r="14" spans="1:10" x14ac:dyDescent="0.25">
      <c r="B14" s="73" t="s">
        <v>133</v>
      </c>
      <c r="C14" s="73"/>
      <c r="D14" s="73"/>
      <c r="E14" s="83">
        <f>LCOEE</f>
        <v>94.4335276558201</v>
      </c>
      <c r="F14" s="83"/>
      <c r="G14" s="83"/>
      <c r="H14" s="83"/>
      <c r="I14" s="83"/>
    </row>
    <row r="15" spans="1:10" x14ac:dyDescent="0.25">
      <c r="B15" s="73" t="s">
        <v>134</v>
      </c>
      <c r="C15" s="73"/>
      <c r="D15" s="73"/>
      <c r="E15" s="83">
        <f>+FinaIndicators!E43</f>
        <v>14226.652442210472</v>
      </c>
      <c r="F15" s="83"/>
      <c r="G15" s="83"/>
      <c r="H15" s="83"/>
      <c r="I15" s="83"/>
    </row>
    <row r="16" spans="1:10" x14ac:dyDescent="0.25">
      <c r="B16" s="73" t="s">
        <v>135</v>
      </c>
      <c r="C16" s="73"/>
      <c r="D16" s="73"/>
      <c r="E16" s="84">
        <f>+FinaIndicators!E44</f>
        <v>0.13118538721517226</v>
      </c>
      <c r="F16" s="84"/>
      <c r="G16" s="84"/>
      <c r="H16" s="84"/>
      <c r="I16" s="84"/>
    </row>
    <row r="17" spans="2:11" ht="18" x14ac:dyDescent="0.35">
      <c r="B17" s="85" t="s">
        <v>200</v>
      </c>
      <c r="C17" s="85"/>
      <c r="D17" s="85"/>
      <c r="E17" s="83">
        <f>+'FinInd+CO2'!E44</f>
        <v>16548.978963644153</v>
      </c>
      <c r="F17" s="83"/>
      <c r="G17" s="83"/>
      <c r="H17" s="83"/>
      <c r="I17" s="83"/>
    </row>
    <row r="18" spans="2:11" ht="18" x14ac:dyDescent="0.35">
      <c r="B18" s="85" t="s">
        <v>201</v>
      </c>
      <c r="C18" s="85"/>
      <c r="D18" s="85"/>
      <c r="E18" s="84">
        <f>+'FinInd+CO2'!E45</f>
        <v>0.1376247709003342</v>
      </c>
      <c r="F18" s="76"/>
      <c r="G18" s="76"/>
      <c r="H18" s="76"/>
      <c r="I18" s="76"/>
    </row>
    <row r="19" spans="2:11" ht="15.75" x14ac:dyDescent="0.25">
      <c r="K19" s="63"/>
    </row>
    <row r="20" spans="2:11" ht="15.75" x14ac:dyDescent="0.25">
      <c r="B20" s="68" t="s">
        <v>120</v>
      </c>
      <c r="C20" s="68"/>
      <c r="K20" s="63"/>
    </row>
    <row r="21" spans="2:11" x14ac:dyDescent="0.25">
      <c r="B21" s="68"/>
      <c r="C21" s="68"/>
      <c r="H21" s="53"/>
    </row>
    <row r="22" spans="2:11" x14ac:dyDescent="0.25">
      <c r="H22" s="53"/>
    </row>
  </sheetData>
  <mergeCells count="23">
    <mergeCell ref="E13:I13"/>
    <mergeCell ref="B13:D13"/>
    <mergeCell ref="A7:D8"/>
    <mergeCell ref="B9:D9"/>
    <mergeCell ref="B10:D10"/>
    <mergeCell ref="B11:D11"/>
    <mergeCell ref="B12:D12"/>
    <mergeCell ref="F3:I3"/>
    <mergeCell ref="B20:C21"/>
    <mergeCell ref="E14:I14"/>
    <mergeCell ref="E15:I15"/>
    <mergeCell ref="E16:I16"/>
    <mergeCell ref="E17:I17"/>
    <mergeCell ref="E18:I18"/>
    <mergeCell ref="B18:D18"/>
    <mergeCell ref="E9:J9"/>
    <mergeCell ref="B14:D14"/>
    <mergeCell ref="B15:D15"/>
    <mergeCell ref="B16:D16"/>
    <mergeCell ref="B17:D17"/>
    <mergeCell ref="E10:I10"/>
    <mergeCell ref="E11:I11"/>
    <mergeCell ref="E12:I12"/>
  </mergeCells>
  <hyperlinks>
    <hyperlink ref="B20:C21" location="ESCOGrafFina!A1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D23"/>
  <sheetViews>
    <sheetView zoomScaleNormal="100" workbookViewId="0">
      <selection activeCell="N28" sqref="N28"/>
    </sheetView>
  </sheetViews>
  <sheetFormatPr defaultRowHeight="15" x14ac:dyDescent="0.25"/>
  <cols>
    <col min="3" max="3" width="23.140625" customWidth="1"/>
  </cols>
  <sheetData>
    <row r="7" spans="2:4" ht="21" x14ac:dyDescent="0.35">
      <c r="B7" s="52"/>
      <c r="C7" s="59" t="s">
        <v>190</v>
      </c>
      <c r="D7" s="52"/>
    </row>
    <row r="8" spans="2:4" ht="18" x14ac:dyDescent="0.35">
      <c r="B8" s="52"/>
      <c r="C8" s="52"/>
      <c r="D8" s="50" t="s">
        <v>191</v>
      </c>
    </row>
    <row r="9" spans="2:4" x14ac:dyDescent="0.25">
      <c r="B9" s="52"/>
      <c r="C9" s="52" t="s">
        <v>21</v>
      </c>
      <c r="D9" s="60">
        <v>0.4</v>
      </c>
    </row>
    <row r="10" spans="2:4" x14ac:dyDescent="0.25">
      <c r="B10" s="52"/>
      <c r="C10" s="52" t="s">
        <v>20</v>
      </c>
      <c r="D10" s="60">
        <v>0.33</v>
      </c>
    </row>
    <row r="11" spans="2:4" x14ac:dyDescent="0.25">
      <c r="B11" s="52"/>
      <c r="C11" s="52" t="s">
        <v>192</v>
      </c>
      <c r="D11" s="60">
        <v>0.34</v>
      </c>
    </row>
    <row r="12" spans="2:4" x14ac:dyDescent="0.25">
      <c r="B12" s="52"/>
      <c r="C12" s="52" t="s">
        <v>193</v>
      </c>
      <c r="D12" s="60">
        <v>0.27</v>
      </c>
    </row>
    <row r="13" spans="2:4" x14ac:dyDescent="0.25">
      <c r="B13" s="52"/>
      <c r="C13" s="52" t="s">
        <v>17</v>
      </c>
      <c r="D13" s="60">
        <v>0.28000000000000003</v>
      </c>
    </row>
    <row r="14" spans="2:4" x14ac:dyDescent="0.25">
      <c r="B14" s="52"/>
      <c r="C14" s="52" t="s">
        <v>14</v>
      </c>
      <c r="D14" s="60">
        <v>0.2</v>
      </c>
    </row>
    <row r="15" spans="2:4" x14ac:dyDescent="0.25">
      <c r="B15" s="52"/>
      <c r="C15" s="52" t="s">
        <v>194</v>
      </c>
      <c r="D15" s="60">
        <v>0.22</v>
      </c>
    </row>
    <row r="16" spans="2:4" x14ac:dyDescent="0.25">
      <c r="B16" s="52"/>
      <c r="C16" s="52" t="s">
        <v>195</v>
      </c>
      <c r="D16" s="60">
        <v>0.49399999999999999</v>
      </c>
    </row>
    <row r="17" spans="2:4" x14ac:dyDescent="0.25">
      <c r="B17" s="52"/>
      <c r="C17" s="52" t="s">
        <v>23</v>
      </c>
      <c r="D17" s="86">
        <v>4.8999999999999998E-3</v>
      </c>
    </row>
    <row r="18" spans="2:4" x14ac:dyDescent="0.25">
      <c r="B18" s="52"/>
      <c r="C18" s="52" t="s">
        <v>196</v>
      </c>
      <c r="D18" s="60">
        <v>0.04</v>
      </c>
    </row>
    <row r="19" spans="2:4" x14ac:dyDescent="0.25">
      <c r="B19" s="52"/>
      <c r="C19" s="52" t="s">
        <v>197</v>
      </c>
      <c r="D19" s="60">
        <v>0.28999999999999998</v>
      </c>
    </row>
    <row r="20" spans="2:4" x14ac:dyDescent="0.25">
      <c r="B20" s="52"/>
      <c r="C20" s="52" t="s">
        <v>18</v>
      </c>
      <c r="D20" s="60">
        <v>0.8</v>
      </c>
    </row>
    <row r="21" spans="2:4" x14ac:dyDescent="0.25">
      <c r="B21" s="52"/>
      <c r="C21" s="52" t="s">
        <v>198</v>
      </c>
      <c r="D21" s="60">
        <v>0</v>
      </c>
    </row>
    <row r="22" spans="2:4" x14ac:dyDescent="0.25">
      <c r="B22" s="52"/>
      <c r="C22" s="52" t="s">
        <v>186</v>
      </c>
      <c r="D22" s="52"/>
    </row>
    <row r="23" spans="2:4" x14ac:dyDescent="0.25">
      <c r="B23" s="52"/>
      <c r="C23" s="52" t="s">
        <v>199</v>
      </c>
      <c r="D23" s="60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zoomScaleNormal="100" workbookViewId="0">
      <selection activeCell="G24" sqref="G24"/>
    </sheetView>
  </sheetViews>
  <sheetFormatPr defaultRowHeight="15" x14ac:dyDescent="0.25"/>
  <cols>
    <col min="2" max="2" width="31.5703125" customWidth="1"/>
    <col min="3" max="3" width="10.140625" bestFit="1" customWidth="1"/>
  </cols>
  <sheetData>
    <row r="1" spans="1:9" x14ac:dyDescent="0.25">
      <c r="A1" s="52"/>
      <c r="B1" s="52"/>
      <c r="C1" s="52"/>
      <c r="D1" s="52"/>
      <c r="E1" s="52"/>
      <c r="F1" s="52"/>
      <c r="G1" s="52"/>
      <c r="H1" s="52"/>
      <c r="I1" s="52"/>
    </row>
    <row r="2" spans="1:9" x14ac:dyDescent="0.25">
      <c r="A2" s="52"/>
      <c r="B2" s="52"/>
      <c r="C2" s="52"/>
      <c r="D2" s="52"/>
      <c r="E2" s="52"/>
      <c r="F2" s="52"/>
      <c r="G2" s="52"/>
      <c r="H2" s="52"/>
      <c r="I2" s="52"/>
    </row>
    <row r="3" spans="1:9" ht="16.5" x14ac:dyDescent="0.35">
      <c r="A3" s="52"/>
      <c r="B3" s="52"/>
      <c r="C3" s="64" t="s">
        <v>177</v>
      </c>
      <c r="D3" s="64"/>
      <c r="E3" s="64"/>
      <c r="F3" s="64"/>
      <c r="G3" s="62"/>
      <c r="H3" s="52"/>
      <c r="I3" s="52"/>
    </row>
    <row r="4" spans="1:9" x14ac:dyDescent="0.25">
      <c r="A4" s="52"/>
      <c r="B4" s="52"/>
      <c r="C4" s="52"/>
      <c r="D4" s="52"/>
      <c r="E4" s="52"/>
      <c r="F4" s="52"/>
      <c r="G4" s="52"/>
      <c r="H4" s="52"/>
      <c r="I4" s="52"/>
    </row>
    <row r="5" spans="1:9" x14ac:dyDescent="0.25">
      <c r="A5" s="52"/>
      <c r="B5" s="52"/>
      <c r="C5" s="52"/>
      <c r="D5" s="52"/>
      <c r="E5" s="52"/>
      <c r="F5" s="52"/>
      <c r="G5" s="52"/>
      <c r="H5" s="52"/>
      <c r="I5" s="52"/>
    </row>
    <row r="6" spans="1:9" x14ac:dyDescent="0.25">
      <c r="A6" s="52"/>
      <c r="B6" s="52"/>
      <c r="C6" s="52"/>
      <c r="D6" s="52"/>
      <c r="E6" s="52"/>
      <c r="F6" s="52"/>
      <c r="G6" s="52"/>
      <c r="H6" s="52"/>
      <c r="I6" s="52"/>
    </row>
    <row r="7" spans="1:9" ht="21" x14ac:dyDescent="0.35">
      <c r="A7" s="52"/>
      <c r="B7" s="71" t="s">
        <v>180</v>
      </c>
      <c r="C7" s="71"/>
      <c r="D7" s="71"/>
      <c r="E7" s="71"/>
      <c r="F7" s="71"/>
      <c r="G7" s="71"/>
      <c r="H7" s="52"/>
      <c r="I7" s="52"/>
    </row>
    <row r="8" spans="1:9" x14ac:dyDescent="0.25">
      <c r="A8" s="52"/>
      <c r="B8" s="50"/>
      <c r="C8" s="50"/>
      <c r="D8" s="50"/>
      <c r="E8" s="50"/>
      <c r="F8" s="50"/>
      <c r="G8" s="50"/>
      <c r="H8" s="52"/>
      <c r="I8" s="52"/>
    </row>
    <row r="9" spans="1:9" x14ac:dyDescent="0.25">
      <c r="A9" s="52"/>
      <c r="B9" s="72" t="s">
        <v>181</v>
      </c>
      <c r="C9" s="72" t="s">
        <v>182</v>
      </c>
      <c r="D9" s="72" t="s">
        <v>110</v>
      </c>
      <c r="E9" s="72" t="s">
        <v>183</v>
      </c>
      <c r="F9" s="52"/>
      <c r="G9" s="52"/>
      <c r="H9" s="52"/>
      <c r="I9" s="52"/>
    </row>
    <row r="10" spans="1:9" x14ac:dyDescent="0.25">
      <c r="A10" s="52"/>
      <c r="B10" s="72"/>
      <c r="C10" s="72"/>
      <c r="D10" s="72"/>
      <c r="E10" s="72"/>
      <c r="F10" s="52"/>
      <c r="G10" s="52"/>
      <c r="H10" s="52"/>
      <c r="I10" s="52"/>
    </row>
    <row r="11" spans="1:9" ht="18" x14ac:dyDescent="0.35">
      <c r="A11" s="52"/>
      <c r="B11" s="18"/>
      <c r="C11" s="51" t="s">
        <v>25</v>
      </c>
      <c r="D11" s="51" t="s">
        <v>184</v>
      </c>
      <c r="E11" s="51" t="s">
        <v>185</v>
      </c>
      <c r="F11" s="52"/>
      <c r="G11" s="52"/>
      <c r="H11" s="52"/>
      <c r="I11" s="52"/>
    </row>
    <row r="12" spans="1:9" x14ac:dyDescent="0.25">
      <c r="A12" s="52"/>
      <c r="B12" s="54" t="s">
        <v>192</v>
      </c>
      <c r="C12" s="55">
        <v>200000</v>
      </c>
      <c r="D12" s="56">
        <f>VLOOKUP(B12,Goriva!$C$9:$D$23,2,FALSE)</f>
        <v>0.34</v>
      </c>
      <c r="E12" s="57">
        <f>IF(B12&lt;&gt;"Gorivo",C12*D12,"")</f>
        <v>68000</v>
      </c>
      <c r="F12" s="52"/>
      <c r="G12" s="52"/>
      <c r="H12" s="52"/>
      <c r="I12" s="52"/>
    </row>
    <row r="13" spans="1:9" x14ac:dyDescent="0.25">
      <c r="A13" s="52"/>
      <c r="B13" s="54" t="s">
        <v>17</v>
      </c>
      <c r="C13" s="55">
        <v>100000</v>
      </c>
      <c r="D13" s="56">
        <f>VLOOKUP(B13,Goriva!$C$9:$D$23,2,FALSE)</f>
        <v>0.28000000000000003</v>
      </c>
      <c r="E13" s="57">
        <f t="shared" ref="E13:E17" si="0">IF(B13&lt;&gt;"Gorivo",C13*D13,"")</f>
        <v>28000.000000000004</v>
      </c>
      <c r="F13" s="52"/>
      <c r="G13" s="52"/>
      <c r="H13" s="52"/>
      <c r="I13" s="52"/>
    </row>
    <row r="14" spans="1:9" x14ac:dyDescent="0.25">
      <c r="A14" s="52"/>
      <c r="B14" s="54" t="s">
        <v>186</v>
      </c>
      <c r="C14" s="55"/>
      <c r="D14" s="56">
        <f>VLOOKUP(B14,Goriva!$C$9:$D$23,2,FALSE)</f>
        <v>0</v>
      </c>
      <c r="E14" s="57" t="str">
        <f t="shared" si="0"/>
        <v/>
      </c>
      <c r="F14" s="52"/>
      <c r="G14" s="52"/>
      <c r="H14" s="52"/>
      <c r="I14" s="52"/>
    </row>
    <row r="15" spans="1:9" x14ac:dyDescent="0.25">
      <c r="A15" s="52"/>
      <c r="B15" s="54" t="s">
        <v>186</v>
      </c>
      <c r="C15" s="55"/>
      <c r="D15" s="56">
        <f>VLOOKUP(B15,Goriva!$C$9:$D$23,2,FALSE)</f>
        <v>0</v>
      </c>
      <c r="E15" s="57" t="str">
        <f t="shared" si="0"/>
        <v/>
      </c>
      <c r="F15" s="52"/>
      <c r="G15" s="52"/>
      <c r="H15" s="52"/>
      <c r="I15" s="52"/>
    </row>
    <row r="16" spans="1:9" x14ac:dyDescent="0.25">
      <c r="A16" s="52"/>
      <c r="B16" s="54" t="s">
        <v>186</v>
      </c>
      <c r="C16" s="55"/>
      <c r="D16" s="56">
        <f>VLOOKUP(B16,Goriva!$C$9:$D$23,2,FALSE)</f>
        <v>0</v>
      </c>
      <c r="E16" s="57" t="str">
        <f t="shared" si="0"/>
        <v/>
      </c>
      <c r="F16" s="52"/>
      <c r="G16" s="52"/>
      <c r="H16" s="52"/>
      <c r="I16" s="52"/>
    </row>
    <row r="17" spans="1:9" x14ac:dyDescent="0.25">
      <c r="A17" s="52"/>
      <c r="B17" s="54" t="s">
        <v>186</v>
      </c>
      <c r="C17" s="55"/>
      <c r="D17" s="56">
        <f>VLOOKUP(B17,Goriva!$C$9:$D$23,2,FALSE)</f>
        <v>0</v>
      </c>
      <c r="E17" s="57" t="str">
        <f t="shared" si="0"/>
        <v/>
      </c>
      <c r="F17" s="52"/>
      <c r="G17" s="52"/>
      <c r="H17" s="52"/>
      <c r="I17" s="52"/>
    </row>
    <row r="18" spans="1:9" x14ac:dyDescent="0.25">
      <c r="A18" s="52"/>
      <c r="B18" s="18" t="s">
        <v>187</v>
      </c>
      <c r="C18" s="57">
        <f>SUM(C12:C17)</f>
        <v>300000</v>
      </c>
      <c r="D18" s="56"/>
      <c r="E18" s="57">
        <f>SUM(E12:E17)</f>
        <v>96000</v>
      </c>
      <c r="F18" s="52"/>
      <c r="G18" s="52"/>
      <c r="H18" s="52"/>
      <c r="I18" s="52"/>
    </row>
    <row r="19" spans="1:9" x14ac:dyDescent="0.25">
      <c r="A19" s="52"/>
      <c r="B19" s="52"/>
      <c r="C19" s="52"/>
      <c r="D19" s="52"/>
      <c r="E19" s="52"/>
      <c r="F19" s="52"/>
      <c r="G19" s="52"/>
      <c r="H19" s="52"/>
      <c r="I19" s="52"/>
    </row>
    <row r="20" spans="1:9" ht="18" x14ac:dyDescent="0.35">
      <c r="A20" s="52"/>
      <c r="B20" s="70" t="s">
        <v>188</v>
      </c>
      <c r="C20" s="70"/>
      <c r="D20" s="70"/>
      <c r="E20" s="51" t="s">
        <v>189</v>
      </c>
      <c r="F20" s="52"/>
      <c r="G20" s="52"/>
      <c r="H20" s="52"/>
      <c r="I20" s="52"/>
    </row>
    <row r="21" spans="1:9" x14ac:dyDescent="0.25">
      <c r="A21" s="52"/>
      <c r="B21" s="70"/>
      <c r="C21" s="70"/>
      <c r="D21" s="70"/>
      <c r="E21" s="58">
        <f>E18/C18</f>
        <v>0.32</v>
      </c>
      <c r="F21" s="52"/>
      <c r="G21" s="52"/>
      <c r="H21" s="52"/>
      <c r="I21" s="52"/>
    </row>
  </sheetData>
  <mergeCells count="7">
    <mergeCell ref="B20:D21"/>
    <mergeCell ref="C3:F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Goriva!$C$9:$C$23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P40"/>
  <sheetViews>
    <sheetView topLeftCell="A13" workbookViewId="0">
      <selection activeCell="P35" sqref="P35"/>
    </sheetView>
  </sheetViews>
  <sheetFormatPr defaultRowHeight="15" x14ac:dyDescent="0.25"/>
  <cols>
    <col min="2" max="2" width="36.42578125" customWidth="1"/>
    <col min="7" max="7" width="10.28515625" customWidth="1"/>
    <col min="13" max="13" width="10.140625" customWidth="1"/>
  </cols>
  <sheetData>
    <row r="3" spans="1:14" ht="16.5" x14ac:dyDescent="0.35">
      <c r="C3" s="64" t="s">
        <v>177</v>
      </c>
      <c r="D3" s="64"/>
      <c r="E3" s="64"/>
      <c r="F3" s="64"/>
    </row>
    <row r="7" spans="1:14" ht="15" customHeight="1" x14ac:dyDescent="0.25">
      <c r="A7" s="14" t="s">
        <v>32</v>
      </c>
      <c r="B7" t="s">
        <v>33</v>
      </c>
      <c r="E7">
        <v>1</v>
      </c>
      <c r="G7" s="18" t="s">
        <v>11</v>
      </c>
      <c r="H7" t="s">
        <v>50</v>
      </c>
      <c r="M7" s="18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115</v>
      </c>
      <c r="N9" t="s">
        <v>6</v>
      </c>
    </row>
    <row r="10" spans="1:14" x14ac:dyDescent="0.25">
      <c r="B10" t="s">
        <v>36</v>
      </c>
      <c r="E10">
        <v>4</v>
      </c>
      <c r="H10" t="s">
        <v>116</v>
      </c>
      <c r="N10" t="s">
        <v>7</v>
      </c>
    </row>
    <row r="11" spans="1:14" x14ac:dyDescent="0.25">
      <c r="B11" t="s">
        <v>37</v>
      </c>
      <c r="E11">
        <v>5</v>
      </c>
      <c r="H11" t="s">
        <v>117</v>
      </c>
      <c r="N11" t="s">
        <v>8</v>
      </c>
    </row>
    <row r="12" spans="1:14" x14ac:dyDescent="0.25">
      <c r="B12" t="s">
        <v>38</v>
      </c>
      <c r="E12">
        <v>6</v>
      </c>
      <c r="H12" t="s">
        <v>118</v>
      </c>
      <c r="N12" t="s">
        <v>9</v>
      </c>
    </row>
    <row r="13" spans="1:14" x14ac:dyDescent="0.25">
      <c r="B13" t="s">
        <v>39</v>
      </c>
      <c r="E13">
        <v>7</v>
      </c>
      <c r="H13" t="s">
        <v>107</v>
      </c>
    </row>
    <row r="14" spans="1:14" x14ac:dyDescent="0.25">
      <c r="B14" t="s">
        <v>40</v>
      </c>
      <c r="E14">
        <v>8</v>
      </c>
      <c r="H14" t="s">
        <v>52</v>
      </c>
    </row>
    <row r="15" spans="1:14" x14ac:dyDescent="0.25">
      <c r="B15" t="s">
        <v>41</v>
      </c>
      <c r="E15">
        <v>9</v>
      </c>
      <c r="G15" s="10"/>
      <c r="H15" t="s">
        <v>53</v>
      </c>
      <c r="M15" s="18" t="s">
        <v>10</v>
      </c>
      <c r="N15" t="s">
        <v>54</v>
      </c>
    </row>
    <row r="16" spans="1:14" x14ac:dyDescent="0.25">
      <c r="B16" t="s">
        <v>42</v>
      </c>
      <c r="E16">
        <v>10</v>
      </c>
      <c r="G16" s="10"/>
      <c r="N16" t="s">
        <v>55</v>
      </c>
    </row>
    <row r="17" spans="2:16" x14ac:dyDescent="0.25">
      <c r="B17" t="s">
        <v>43</v>
      </c>
      <c r="E17">
        <v>11</v>
      </c>
      <c r="N17" t="s">
        <v>56</v>
      </c>
    </row>
    <row r="18" spans="2:16" x14ac:dyDescent="0.25">
      <c r="B18" t="s">
        <v>44</v>
      </c>
      <c r="E18">
        <v>12</v>
      </c>
      <c r="N18" t="s">
        <v>57</v>
      </c>
    </row>
    <row r="19" spans="2:16" ht="18" x14ac:dyDescent="0.35">
      <c r="B19" t="s">
        <v>45</v>
      </c>
      <c r="E19">
        <v>13</v>
      </c>
      <c r="N19" t="s">
        <v>58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G21" s="73" t="s">
        <v>136</v>
      </c>
      <c r="H21" s="73"/>
      <c r="I21" s="73"/>
      <c r="M21" s="18" t="s">
        <v>12</v>
      </c>
      <c r="N21" t="s">
        <v>59</v>
      </c>
    </row>
    <row r="22" spans="2:16" x14ac:dyDescent="0.25">
      <c r="B22" t="s">
        <v>48</v>
      </c>
      <c r="E22">
        <v>16</v>
      </c>
      <c r="H22" t="s">
        <v>137</v>
      </c>
      <c r="J22" s="2">
        <f>SUM(UnosPodataka!F21:F24)</f>
        <v>0</v>
      </c>
      <c r="K22" s="6">
        <f>+J22/$J$25</f>
        <v>0</v>
      </c>
      <c r="N22" t="s">
        <v>60</v>
      </c>
    </row>
    <row r="23" spans="2:16" x14ac:dyDescent="0.25">
      <c r="B23" t="s">
        <v>49</v>
      </c>
      <c r="E23">
        <v>17</v>
      </c>
      <c r="H23" t="s">
        <v>138</v>
      </c>
      <c r="J23" s="7">
        <f>+LOAN</f>
        <v>27000</v>
      </c>
      <c r="K23" s="6">
        <v>0.12</v>
      </c>
      <c r="N23" t="s">
        <v>61</v>
      </c>
    </row>
    <row r="24" spans="2:16" x14ac:dyDescent="0.25">
      <c r="B24" t="s">
        <v>106</v>
      </c>
      <c r="H24" t="s">
        <v>139</v>
      </c>
      <c r="J24" s="7">
        <f>+Equity</f>
        <v>17000</v>
      </c>
      <c r="K24" s="6">
        <v>5.8299999999999998E-2</v>
      </c>
      <c r="N24" t="s">
        <v>62</v>
      </c>
    </row>
    <row r="25" spans="2:16" x14ac:dyDescent="0.25">
      <c r="B25" s="13">
        <f>VLOOKUP(Pocetna!M12,B7:E23,4,FALSE)</f>
        <v>5</v>
      </c>
      <c r="I25" t="s">
        <v>140</v>
      </c>
      <c r="J25" s="2">
        <f>SUM(J22:J24)</f>
        <v>44000</v>
      </c>
      <c r="K25" s="6">
        <f>+(J22*K22+J23*K23+J24*K24)/J25</f>
        <v>9.6161363636363642E-2</v>
      </c>
      <c r="N25" t="s">
        <v>63</v>
      </c>
    </row>
    <row r="26" spans="2:16" x14ac:dyDescent="0.25">
      <c r="B26" s="9"/>
      <c r="N26" t="s">
        <v>141</v>
      </c>
    </row>
    <row r="27" spans="2:16" x14ac:dyDescent="0.25">
      <c r="N27" t="s">
        <v>64</v>
      </c>
    </row>
    <row r="28" spans="2:16" x14ac:dyDescent="0.25">
      <c r="B28" s="23"/>
    </row>
    <row r="29" spans="2:16" x14ac:dyDescent="0.25">
      <c r="B29" s="24"/>
      <c r="M29" s="18" t="s">
        <v>13</v>
      </c>
      <c r="N29" t="s">
        <v>14</v>
      </c>
      <c r="P29" s="2">
        <v>0.2</v>
      </c>
    </row>
    <row r="30" spans="2:16" x14ac:dyDescent="0.25">
      <c r="N30" t="s">
        <v>15</v>
      </c>
      <c r="P30" s="2">
        <v>0.22</v>
      </c>
    </row>
    <row r="31" spans="2:16" x14ac:dyDescent="0.25">
      <c r="N31" t="s">
        <v>16</v>
      </c>
      <c r="P31" s="2">
        <v>0.27</v>
      </c>
    </row>
    <row r="32" spans="2:16" x14ac:dyDescent="0.25">
      <c r="N32" t="s">
        <v>17</v>
      </c>
      <c r="P32" s="2">
        <v>0.28000000000000003</v>
      </c>
    </row>
    <row r="33" spans="14:16" x14ac:dyDescent="0.25">
      <c r="N33" t="s">
        <v>18</v>
      </c>
      <c r="P33" s="2">
        <v>0.8</v>
      </c>
    </row>
    <row r="34" spans="14:16" x14ac:dyDescent="0.25">
      <c r="N34" t="s">
        <v>19</v>
      </c>
      <c r="P34" s="2">
        <v>0.33</v>
      </c>
    </row>
    <row r="35" spans="14:16" x14ac:dyDescent="0.25">
      <c r="N35" t="s">
        <v>23</v>
      </c>
      <c r="P35" s="2">
        <v>4.8999999999999998E-3</v>
      </c>
    </row>
    <row r="36" spans="14:16" x14ac:dyDescent="0.25">
      <c r="N36" t="s">
        <v>20</v>
      </c>
      <c r="P36" s="2">
        <v>0.4</v>
      </c>
    </row>
    <row r="37" spans="14:16" x14ac:dyDescent="0.25">
      <c r="N37" t="s">
        <v>21</v>
      </c>
      <c r="P37" s="2">
        <v>0.33</v>
      </c>
    </row>
    <row r="38" spans="14:16" x14ac:dyDescent="0.25">
      <c r="N38" t="s">
        <v>22</v>
      </c>
      <c r="P38" s="2">
        <v>0</v>
      </c>
    </row>
    <row r="39" spans="14:16" x14ac:dyDescent="0.25">
      <c r="N39" t="s">
        <v>122</v>
      </c>
      <c r="P39" s="61">
        <f>SUM(KonvFaktor!E21)</f>
        <v>0.32</v>
      </c>
    </row>
    <row r="40" spans="14:16" x14ac:dyDescent="0.25">
      <c r="N40" t="s">
        <v>179</v>
      </c>
      <c r="P40" s="2">
        <v>0.22</v>
      </c>
    </row>
  </sheetData>
  <sheetProtection selectLockedCells="1"/>
  <mergeCells count="2">
    <mergeCell ref="G21:I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topLeftCell="C1" workbookViewId="0">
      <selection activeCell="M30" sqref="M30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G3" s="64" t="s">
        <v>177</v>
      </c>
      <c r="H3" s="64"/>
      <c r="I3" s="64"/>
      <c r="J3" s="64"/>
    </row>
    <row r="7" spans="2:16" x14ac:dyDescent="0.25">
      <c r="B7" s="78" t="s">
        <v>68</v>
      </c>
      <c r="C7" s="78"/>
      <c r="D7" s="78"/>
      <c r="E7" s="78"/>
      <c r="F7" s="1" t="s">
        <v>1</v>
      </c>
      <c r="I7" s="77" t="s">
        <v>68</v>
      </c>
      <c r="J7" s="77"/>
      <c r="K7" s="77"/>
      <c r="L7" s="77"/>
      <c r="M7" s="1" t="s">
        <v>24</v>
      </c>
    </row>
    <row r="8" spans="2:16" x14ac:dyDescent="0.25">
      <c r="O8" s="68" t="s">
        <v>120</v>
      </c>
      <c r="P8" s="68"/>
    </row>
    <row r="9" spans="2:16" x14ac:dyDescent="0.25">
      <c r="B9" s="74" t="s">
        <v>50</v>
      </c>
      <c r="C9" s="74"/>
      <c r="D9" s="74"/>
      <c r="E9" s="74"/>
      <c r="F9" s="7">
        <v>3000</v>
      </c>
      <c r="I9" s="75" t="s">
        <v>54</v>
      </c>
      <c r="J9" s="75"/>
      <c r="K9" s="75"/>
      <c r="L9" s="75"/>
      <c r="M9" s="2">
        <v>100</v>
      </c>
      <c r="O9" s="68"/>
      <c r="P9" s="68"/>
    </row>
    <row r="10" spans="2:16" x14ac:dyDescent="0.25">
      <c r="B10" s="74" t="s">
        <v>51</v>
      </c>
      <c r="C10" s="74"/>
      <c r="D10" s="74"/>
      <c r="E10" s="74"/>
      <c r="F10" s="7">
        <v>1500</v>
      </c>
      <c r="I10" s="75" t="s">
        <v>55</v>
      </c>
      <c r="J10" s="75"/>
      <c r="K10" s="75"/>
      <c r="L10" s="75"/>
      <c r="M10" s="6">
        <v>1</v>
      </c>
    </row>
    <row r="11" spans="2:16" x14ac:dyDescent="0.25">
      <c r="B11" s="74" t="s">
        <v>115</v>
      </c>
      <c r="C11" s="74"/>
      <c r="D11" s="74"/>
      <c r="E11" s="74"/>
      <c r="F11" s="7">
        <v>20000</v>
      </c>
      <c r="I11" s="75" t="s">
        <v>56</v>
      </c>
      <c r="J11" s="75"/>
      <c r="K11" s="75"/>
      <c r="L11" s="75"/>
      <c r="M11" s="19">
        <v>0.05</v>
      </c>
      <c r="O11" s="69" t="s">
        <v>121</v>
      </c>
      <c r="P11" s="69"/>
    </row>
    <row r="12" spans="2:16" x14ac:dyDescent="0.25">
      <c r="B12" s="74" t="s">
        <v>116</v>
      </c>
      <c r="C12" s="74"/>
      <c r="D12" s="74"/>
      <c r="E12" s="74"/>
      <c r="F12" s="7">
        <v>6000</v>
      </c>
      <c r="I12" s="75" t="s">
        <v>57</v>
      </c>
      <c r="J12" s="75"/>
      <c r="K12" s="75"/>
      <c r="L12" s="75"/>
      <c r="M12" s="19">
        <v>0.1</v>
      </c>
      <c r="O12" s="69"/>
      <c r="P12" s="69"/>
    </row>
    <row r="13" spans="2:16" x14ac:dyDescent="0.25">
      <c r="B13" s="74" t="s">
        <v>117</v>
      </c>
      <c r="C13" s="74"/>
      <c r="D13" s="74"/>
      <c r="E13" s="74"/>
      <c r="F13" s="7">
        <v>3000</v>
      </c>
      <c r="I13" s="75" t="s">
        <v>71</v>
      </c>
      <c r="J13" s="75"/>
      <c r="K13" s="75"/>
      <c r="L13" s="75"/>
      <c r="M13" s="20">
        <v>97.44</v>
      </c>
    </row>
    <row r="14" spans="2:16" x14ac:dyDescent="0.25">
      <c r="B14" s="74" t="s">
        <v>118</v>
      </c>
      <c r="C14" s="74"/>
      <c r="D14" s="74"/>
      <c r="E14" s="74"/>
      <c r="F14" s="7">
        <v>5000</v>
      </c>
      <c r="I14" s="22"/>
      <c r="J14" s="22"/>
      <c r="K14" s="22"/>
      <c r="L14" s="22"/>
      <c r="M14" s="20"/>
    </row>
    <row r="15" spans="2:16" x14ac:dyDescent="0.25">
      <c r="B15" s="74" t="s">
        <v>107</v>
      </c>
      <c r="C15" s="74"/>
      <c r="D15" s="74"/>
      <c r="E15" s="74"/>
      <c r="F15" s="7">
        <v>2500</v>
      </c>
      <c r="I15" s="22"/>
      <c r="J15" s="22"/>
      <c r="K15" s="22"/>
      <c r="L15" s="22"/>
      <c r="M15" s="20"/>
    </row>
    <row r="16" spans="2:16" x14ac:dyDescent="0.25">
      <c r="B16" s="74" t="s">
        <v>52</v>
      </c>
      <c r="C16" s="74"/>
      <c r="D16" s="74"/>
      <c r="E16" s="74"/>
      <c r="F16" s="7">
        <v>1000</v>
      </c>
      <c r="I16" s="22"/>
      <c r="J16" s="22"/>
      <c r="K16" s="22"/>
      <c r="L16" s="22"/>
      <c r="M16" s="20"/>
    </row>
    <row r="17" spans="2:13" x14ac:dyDescent="0.25">
      <c r="B17" s="74" t="s">
        <v>53</v>
      </c>
      <c r="C17" s="74"/>
      <c r="D17" s="74"/>
      <c r="E17" s="74"/>
      <c r="F17" s="7">
        <v>2000</v>
      </c>
      <c r="I17" s="76"/>
      <c r="J17" s="76"/>
      <c r="K17" s="76"/>
      <c r="L17" s="76"/>
      <c r="M17" s="6"/>
    </row>
    <row r="18" spans="2:13" x14ac:dyDescent="0.25">
      <c r="B18" s="74"/>
      <c r="C18" s="74"/>
      <c r="D18" s="74"/>
      <c r="E18" s="74"/>
      <c r="F18" s="7"/>
      <c r="I18" s="75" t="s">
        <v>62</v>
      </c>
      <c r="J18" s="75"/>
      <c r="K18" s="75"/>
      <c r="L18" s="75"/>
      <c r="M18" s="19">
        <v>0.06</v>
      </c>
    </row>
    <row r="19" spans="2:13" x14ac:dyDescent="0.25">
      <c r="E19" s="3" t="s">
        <v>69</v>
      </c>
      <c r="F19" s="2">
        <f>SUM(F9:F18)</f>
        <v>44000</v>
      </c>
      <c r="I19" s="75" t="s">
        <v>63</v>
      </c>
      <c r="J19" s="75"/>
      <c r="K19" s="75"/>
      <c r="L19" s="75"/>
      <c r="M19" s="19">
        <v>0.12</v>
      </c>
    </row>
    <row r="20" spans="2:13" x14ac:dyDescent="0.25">
      <c r="I20" s="75" t="s">
        <v>141</v>
      </c>
      <c r="J20" s="75"/>
      <c r="K20" s="75"/>
      <c r="L20" s="75"/>
      <c r="M20" s="19">
        <v>5.8299999999999998E-2</v>
      </c>
    </row>
    <row r="21" spans="2:13" x14ac:dyDescent="0.25">
      <c r="B21" s="75" t="s">
        <v>5</v>
      </c>
      <c r="C21" s="75"/>
      <c r="D21" s="75"/>
      <c r="E21" s="75"/>
      <c r="F21" s="7">
        <v>0</v>
      </c>
      <c r="I21" s="75" t="s">
        <v>60</v>
      </c>
      <c r="J21" s="75"/>
      <c r="K21" s="75"/>
      <c r="L21" s="75"/>
      <c r="M21" s="21">
        <v>4</v>
      </c>
    </row>
    <row r="22" spans="2:13" x14ac:dyDescent="0.25">
      <c r="B22" s="75"/>
      <c r="C22" s="75"/>
      <c r="D22" s="75"/>
      <c r="E22" s="75"/>
      <c r="F22" s="7"/>
      <c r="I22" s="75" t="s">
        <v>64</v>
      </c>
      <c r="J22" s="75"/>
      <c r="K22" s="75"/>
      <c r="L22" s="75"/>
      <c r="M22" s="28" t="s">
        <v>23</v>
      </c>
    </row>
    <row r="23" spans="2:13" x14ac:dyDescent="0.25">
      <c r="B23" s="75"/>
      <c r="C23" s="75"/>
      <c r="D23" s="75"/>
      <c r="E23" s="75"/>
      <c r="F23" s="2"/>
      <c r="I23" s="75" t="s">
        <v>72</v>
      </c>
      <c r="J23" s="75"/>
      <c r="K23" s="75"/>
      <c r="L23" s="75"/>
      <c r="M23" s="86">
        <f>VLOOKUP(M22,PomTab1!N29:P39,3,FALSE)</f>
        <v>4.8999999999999998E-3</v>
      </c>
    </row>
    <row r="24" spans="2:13" x14ac:dyDescent="0.25">
      <c r="B24" s="75"/>
      <c r="C24" s="75"/>
      <c r="D24" s="75"/>
      <c r="E24" s="75"/>
      <c r="I24" s="75" t="s">
        <v>61</v>
      </c>
      <c r="J24" s="75"/>
      <c r="K24" s="75"/>
      <c r="L24" s="75"/>
      <c r="M24" s="8">
        <v>20</v>
      </c>
    </row>
    <row r="25" spans="2:13" x14ac:dyDescent="0.25">
      <c r="B25" s="75"/>
      <c r="C25" s="75"/>
      <c r="D25" s="75"/>
      <c r="E25" s="75"/>
    </row>
    <row r="26" spans="2:13" x14ac:dyDescent="0.25">
      <c r="B26" s="75" t="s">
        <v>9</v>
      </c>
      <c r="C26" s="75"/>
      <c r="D26" s="75"/>
      <c r="E26" s="75"/>
      <c r="F26" s="7">
        <v>17000</v>
      </c>
      <c r="M26" s="11"/>
    </row>
    <row r="27" spans="2:13" x14ac:dyDescent="0.25">
      <c r="E27" s="4" t="s">
        <v>69</v>
      </c>
      <c r="F27" s="2">
        <f>IF(SUM(F21:F26)&gt;F19,FALSE,SUM(F21:F26))</f>
        <v>17000</v>
      </c>
      <c r="M27" s="2"/>
    </row>
    <row r="28" spans="2:13" x14ac:dyDescent="0.25">
      <c r="F28" s="2"/>
      <c r="M28" s="11"/>
    </row>
    <row r="29" spans="2:13" x14ac:dyDescent="0.25">
      <c r="E29" s="3" t="s">
        <v>70</v>
      </c>
      <c r="F29" s="2">
        <f>F19-F27</f>
        <v>27000</v>
      </c>
    </row>
    <row r="31" spans="2:13" x14ac:dyDescent="0.25">
      <c r="J31" s="47"/>
    </row>
  </sheetData>
  <sheetProtection selectLockedCells="1"/>
  <mergeCells count="34">
    <mergeCell ref="I18:L18"/>
    <mergeCell ref="I17:L17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B10:E10"/>
    <mergeCell ref="I19:L19"/>
    <mergeCell ref="I21:L21"/>
    <mergeCell ref="I22:L22"/>
    <mergeCell ref="I23:L23"/>
    <mergeCell ref="I24:L24"/>
    <mergeCell ref="I20:L20"/>
    <mergeCell ref="G3:J3"/>
    <mergeCell ref="O8:P9"/>
    <mergeCell ref="O11:P12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za suve rekuperatore 5% a za rekuperatore u kondenzacionom režimu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4:M16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>
      <formula1>0</formula1>
      <formula2>0.1</formula2>
    </dataValidation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>
      <formula1>1</formula1>
      <formula2>12</formula2>
    </dataValidation>
    <dataValidation allowBlank="1" showInputMessage="1" showErrorMessage="1" errorTitle="Restriction" error="Nije dozvoljen iznos veći od 7.5%" promptTitle="PP" prompt="Prosečan prinos na sopstveni kapital (profitna stopa) prosečno je iznosila za toplane u Srbiji 5.,83%._x000a_" sqref="M20"/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</dataValidations>
  <hyperlinks>
    <hyperlink ref="O8:P9" location="Pocetna!M9" display="NAZAD"/>
    <hyperlink ref="O11:P12" location="Ustede!A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I22:L23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3:P16"/>
  <sheetViews>
    <sheetView workbookViewId="0">
      <selection activeCell="M22" sqref="M22"/>
    </sheetView>
  </sheetViews>
  <sheetFormatPr defaultRowHeight="15" x14ac:dyDescent="0.25"/>
  <cols>
    <col min="6" max="6" width="12.42578125" customWidth="1"/>
    <col min="7" max="7" width="13.5703125" customWidth="1"/>
    <col min="8" max="8" width="9.140625" customWidth="1"/>
  </cols>
  <sheetData>
    <row r="3" spans="1:16" ht="16.5" x14ac:dyDescent="0.35">
      <c r="F3" s="64" t="s">
        <v>177</v>
      </c>
      <c r="G3" s="64"/>
      <c r="H3" s="64"/>
    </row>
    <row r="7" spans="1:16" ht="21" x14ac:dyDescent="0.35">
      <c r="A7" s="71" t="s">
        <v>65</v>
      </c>
      <c r="B7" s="71"/>
      <c r="C7" s="71"/>
      <c r="D7" s="71"/>
      <c r="E7" s="71"/>
      <c r="F7" s="71"/>
    </row>
    <row r="9" spans="1:16" x14ac:dyDescent="0.25">
      <c r="A9" t="s">
        <v>113</v>
      </c>
      <c r="F9" s="27">
        <v>12080</v>
      </c>
      <c r="G9" s="5" t="s">
        <v>114</v>
      </c>
      <c r="L9" s="68" t="s">
        <v>120</v>
      </c>
      <c r="M9" s="68"/>
      <c r="O9" s="69" t="s">
        <v>121</v>
      </c>
      <c r="P9" s="69"/>
    </row>
    <row r="10" spans="1:16" ht="15" customHeight="1" x14ac:dyDescent="0.25">
      <c r="A10" t="s">
        <v>119</v>
      </c>
      <c r="F10" s="26"/>
      <c r="G10" s="5"/>
      <c r="H10" s="25" t="b">
        <v>1</v>
      </c>
      <c r="L10" s="68"/>
      <c r="M10" s="68"/>
      <c r="O10" s="69"/>
      <c r="P10" s="69"/>
    </row>
    <row r="11" spans="1:16" ht="15" customHeight="1" x14ac:dyDescent="0.25">
      <c r="A11" t="s">
        <v>108</v>
      </c>
      <c r="F11" s="27">
        <v>60</v>
      </c>
      <c r="G11" s="5" t="s">
        <v>112</v>
      </c>
      <c r="H11" s="25"/>
    </row>
    <row r="12" spans="1:16" ht="15" customHeight="1" x14ac:dyDescent="0.25">
      <c r="A12" t="s">
        <v>109</v>
      </c>
      <c r="F12" s="27"/>
      <c r="G12" s="5"/>
      <c r="H12" s="25" t="b">
        <v>0</v>
      </c>
    </row>
    <row r="14" spans="1:16" x14ac:dyDescent="0.25">
      <c r="A14" t="s">
        <v>66</v>
      </c>
      <c r="F14" s="29">
        <f>CirkP*IF($H$12=TRUE,2560-1100,3840-1700)/1000</f>
        <v>128.4</v>
      </c>
      <c r="G14" s="5" t="s">
        <v>25</v>
      </c>
    </row>
    <row r="15" spans="1:16" x14ac:dyDescent="0.25">
      <c r="A15" t="s">
        <v>67</v>
      </c>
      <c r="F15" s="29">
        <f>F14*ElEn/Kurs_EUR</f>
        <v>13224.473091876407</v>
      </c>
      <c r="G15" s="5" t="s">
        <v>26</v>
      </c>
    </row>
    <row r="16" spans="1:16" x14ac:dyDescent="0.25">
      <c r="A16" t="s">
        <v>110</v>
      </c>
      <c r="F16" s="30">
        <f>IF($H$10=TRUE,EFAKTOR,0)</f>
        <v>4.8999999999999998E-3</v>
      </c>
      <c r="G16" s="5" t="s">
        <v>111</v>
      </c>
    </row>
  </sheetData>
  <sheetProtection selectLockedCells="1"/>
  <mergeCells count="4">
    <mergeCell ref="A7:F7"/>
    <mergeCell ref="L9:M10"/>
    <mergeCell ref="O9:P10"/>
    <mergeCell ref="F3:H3"/>
  </mergeCells>
  <hyperlinks>
    <hyperlink ref="L9:M10" location="UnosPodataka!O3" display="NAZAD"/>
    <hyperlink ref="O9:P10" location="Anuiteti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6" r:id="rId4" name="Check Box 6">
              <controlPr defaultSize="0" autoFill="0" autoLine="0" autoPict="0">
                <anchor moveWithCells="1">
                  <from>
                    <xdr:col>5</xdr:col>
                    <xdr:colOff>361950</xdr:colOff>
                    <xdr:row>9</xdr:row>
                    <xdr:rowOff>0</xdr:rowOff>
                  </from>
                  <to>
                    <xdr:col>6</xdr:col>
                    <xdr:colOff>333375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5" name="Check Box 8">
              <controlPr defaultSize="0" autoFill="0" autoLine="0" autoPict="0">
                <anchor moveWithCells="1">
                  <from>
                    <xdr:col>5</xdr:col>
                    <xdr:colOff>361950</xdr:colOff>
                    <xdr:row>10</xdr:row>
                    <xdr:rowOff>180975</xdr:rowOff>
                  </from>
                  <to>
                    <xdr:col>6</xdr:col>
                    <xdr:colOff>333375</xdr:colOff>
                    <xdr:row>12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I2" sqref="I2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4" t="s">
        <v>177</v>
      </c>
      <c r="E3" s="64"/>
      <c r="F3" s="64"/>
      <c r="G3" s="64"/>
    </row>
    <row r="7" spans="2:13" ht="21" x14ac:dyDescent="0.35">
      <c r="B7" s="71" t="s">
        <v>73</v>
      </c>
      <c r="C7" s="71"/>
      <c r="D7" s="71"/>
      <c r="E7" s="71"/>
      <c r="F7" s="71"/>
      <c r="G7" s="71"/>
    </row>
    <row r="9" spans="2:13" x14ac:dyDescent="0.25">
      <c r="B9" t="s">
        <v>105</v>
      </c>
      <c r="D9" s="5" t="s">
        <v>1</v>
      </c>
      <c r="E9" s="12">
        <f>LOAN</f>
        <v>27000</v>
      </c>
      <c r="I9" s="68" t="s">
        <v>120</v>
      </c>
      <c r="J9" s="68"/>
      <c r="L9" s="69" t="s">
        <v>121</v>
      </c>
      <c r="M9" s="69"/>
    </row>
    <row r="10" spans="2:13" x14ac:dyDescent="0.25">
      <c r="I10" s="68"/>
      <c r="J10" s="68"/>
      <c r="L10" s="69"/>
      <c r="M10" s="69"/>
    </row>
    <row r="11" spans="2:13" x14ac:dyDescent="0.25">
      <c r="B11" s="13" t="s">
        <v>27</v>
      </c>
      <c r="C11" s="13" t="s">
        <v>74</v>
      </c>
      <c r="D11" s="13" t="s">
        <v>75</v>
      </c>
      <c r="E11" s="13" t="s">
        <v>76</v>
      </c>
    </row>
    <row r="13" spans="2:13" x14ac:dyDescent="0.25">
      <c r="B13">
        <v>1</v>
      </c>
      <c r="C13" s="2">
        <f>E9</f>
        <v>27000</v>
      </c>
      <c r="D13" s="2">
        <f>IF(UnosPodataka!M19=0,"",UnosPodataka!$M$19*Anuiteti!$E$9)</f>
        <v>3240</v>
      </c>
      <c r="E13" s="2">
        <f>PMT(UnosPodataka!$M$19,UnosPodataka!$M$21,Anuiteti!$E$9)</f>
        <v>-8889.3297802536254</v>
      </c>
    </row>
    <row r="14" spans="2:13" x14ac:dyDescent="0.25">
      <c r="B14">
        <f>IF(B13&lt;UnosPodataka!$M$21,B13+1,"")</f>
        <v>2</v>
      </c>
      <c r="C14" s="2">
        <f>IF(B14&lt;&gt;"",SUM(C13:E13),"")</f>
        <v>21350.670219746375</v>
      </c>
      <c r="D14" s="2">
        <f>IF(B14&lt;&gt;"",C14*UnosPodataka!$M$19,"")</f>
        <v>2562.080426369565</v>
      </c>
      <c r="E14" s="2">
        <f>IF(B14&lt;&gt;"",PMT(UnosPodataka!$M$19,UnosPodataka!$M$21,Anuiteti!$E$9),"")</f>
        <v>-8889.3297802536254</v>
      </c>
    </row>
    <row r="15" spans="2:13" x14ac:dyDescent="0.25">
      <c r="B15">
        <f>IF(B14&lt;UnosPodataka!$M$21,B14+1,"")</f>
        <v>3</v>
      </c>
      <c r="C15" s="2">
        <f t="shared" ref="C15:C32" si="0">IF(B15&lt;&gt;"",SUM(C14:E14),"")</f>
        <v>15023.420865862314</v>
      </c>
      <c r="D15" s="2">
        <f>IF(B15&lt;&gt;"",C15*UnosPodataka!$M$19,"")</f>
        <v>1802.8105039034776</v>
      </c>
      <c r="E15" s="2">
        <f>IF(B15&lt;&gt;"",PMT(UnosPodataka!$M$19,UnosPodataka!$M$21,Anuiteti!$E$9),"")</f>
        <v>-8889.3297802536254</v>
      </c>
    </row>
    <row r="16" spans="2:13" x14ac:dyDescent="0.25">
      <c r="B16">
        <f>IF(B15&lt;UnosPodataka!$M$21,B15+1,"")</f>
        <v>4</v>
      </c>
      <c r="C16" s="2">
        <f t="shared" si="0"/>
        <v>7936.9015895121665</v>
      </c>
      <c r="D16" s="2">
        <f>IF(B16&lt;&gt;"",C16*UnosPodataka!$M$19,"")</f>
        <v>952.42819074145996</v>
      </c>
      <c r="E16" s="2">
        <f>IF(B16&lt;&gt;"",PMT(UnosPodataka!$M$19,UnosPodataka!$M$21,Anuiteti!$E$9),"")</f>
        <v>-8889.3297802536254</v>
      </c>
    </row>
    <row r="17" spans="2:5" x14ac:dyDescent="0.25">
      <c r="B17" t="str">
        <f>IF(B16&lt;UnosPodataka!$M$21,B16+1,"")</f>
        <v/>
      </c>
      <c r="C17" s="2" t="str">
        <f t="shared" si="0"/>
        <v/>
      </c>
      <c r="D17" s="2" t="str">
        <f>IF(B17&lt;&gt;"",C17*UnosPodataka!$M$19,"")</f>
        <v/>
      </c>
      <c r="E17" s="2" t="str">
        <f>IF(B17&lt;&gt;"",PMT(UnosPodataka!$M$19,UnosPodataka!$M$21,Anuiteti!$E$9),"")</f>
        <v/>
      </c>
    </row>
    <row r="18" spans="2:5" x14ac:dyDescent="0.25">
      <c r="B18" t="str">
        <f>IF(B17&lt;UnosPodataka!$M$21,B17+1,"")</f>
        <v/>
      </c>
      <c r="C18" s="2" t="str">
        <f t="shared" si="0"/>
        <v/>
      </c>
      <c r="D18" s="2" t="str">
        <f>IF(B18&lt;&gt;"",C18*UnosPodataka!$M$19,"")</f>
        <v/>
      </c>
      <c r="E18" s="2" t="str">
        <f>IF(B18&lt;&gt;"",PMT(UnosPodataka!$M$19,UnosPodataka!$M$21,Anuiteti!$E$9),"")</f>
        <v/>
      </c>
    </row>
    <row r="19" spans="2:5" x14ac:dyDescent="0.25">
      <c r="B19" t="str">
        <f>IF(B18&lt;UnosPodataka!$M$21,B18+1,"")</f>
        <v/>
      </c>
      <c r="C19" s="2" t="str">
        <f t="shared" si="0"/>
        <v/>
      </c>
      <c r="D19" s="2" t="str">
        <f>IF(B19&lt;&gt;"",C19*UnosPodataka!$M$19,"")</f>
        <v/>
      </c>
      <c r="E19" s="2" t="str">
        <f>IF(B19&lt;&gt;"",PMT(UnosPodataka!$M$19,UnosPodataka!$M$21,Anuiteti!$E$9),"")</f>
        <v/>
      </c>
    </row>
    <row r="20" spans="2:5" x14ac:dyDescent="0.25">
      <c r="B20" t="str">
        <f>IF(B19&lt;UnosPodataka!$M$21,B19+1,"")</f>
        <v/>
      </c>
      <c r="C20" s="2" t="str">
        <f t="shared" si="0"/>
        <v/>
      </c>
      <c r="D20" s="2" t="str">
        <f>IF(B20&lt;&gt;"",C20*UnosPodataka!$M$19,"")</f>
        <v/>
      </c>
      <c r="E20" s="2" t="str">
        <f>IF(B20&lt;&gt;"",PMT(UnosPodataka!$M$19,UnosPodataka!$M$21,Anuiteti!$E$9),"")</f>
        <v/>
      </c>
    </row>
    <row r="21" spans="2:5" x14ac:dyDescent="0.25">
      <c r="B21" t="str">
        <f>IF(B20&lt;UnosPodataka!$M$21,B20+1,"")</f>
        <v/>
      </c>
      <c r="C21" s="2" t="str">
        <f t="shared" si="0"/>
        <v/>
      </c>
      <c r="D21" s="2" t="str">
        <f>IF(B21&lt;&gt;"",C21*UnosPodataka!$M$19,"")</f>
        <v/>
      </c>
      <c r="E21" s="2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2" t="str">
        <f t="shared" si="0"/>
        <v/>
      </c>
      <c r="D22" s="2" t="str">
        <f>IF(B22&lt;&gt;"",C22*UnosPodataka!$M$19,"")</f>
        <v/>
      </c>
      <c r="E22" s="2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2" t="str">
        <f t="shared" si="0"/>
        <v/>
      </c>
      <c r="D23" s="2" t="str">
        <f>IF(B23&lt;&gt;"",C23*UnosPodataka!$M$19,"")</f>
        <v/>
      </c>
      <c r="E23" s="2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2" t="str">
        <f t="shared" si="0"/>
        <v/>
      </c>
      <c r="D24" s="2" t="str">
        <f>IF(B24&lt;&gt;"",C24*UnosPodataka!$M$19,"")</f>
        <v/>
      </c>
      <c r="E24" s="2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2" t="str">
        <f t="shared" si="0"/>
        <v/>
      </c>
      <c r="D25" s="2" t="str">
        <f>IF(B25&lt;&gt;"",C25*UnosPodataka!$M$19,"")</f>
        <v/>
      </c>
      <c r="E25" s="2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2" t="str">
        <f t="shared" si="0"/>
        <v/>
      </c>
      <c r="D26" s="2" t="str">
        <f>IF(B26&lt;&gt;"",C26*UnosPodataka!$M$19,"")</f>
        <v/>
      </c>
      <c r="E26" s="2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2" t="str">
        <f t="shared" si="0"/>
        <v/>
      </c>
      <c r="D27" s="2" t="str">
        <f>IF(B27&lt;&gt;"",C27*UnosPodataka!$M$19,"")</f>
        <v/>
      </c>
      <c r="E27" s="2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2" t="str">
        <f t="shared" si="0"/>
        <v/>
      </c>
      <c r="D28" s="2" t="str">
        <f>IF(B28&lt;&gt;"",C28*UnosPodataka!$M$19,"")</f>
        <v/>
      </c>
      <c r="E28" s="2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2" t="str">
        <f t="shared" si="0"/>
        <v/>
      </c>
      <c r="D29" s="2" t="str">
        <f>IF(B29&lt;&gt;"",C29*UnosPodataka!$M$19,"")</f>
        <v/>
      </c>
      <c r="E29" s="2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2" t="str">
        <f t="shared" si="0"/>
        <v/>
      </c>
      <c r="D30" s="2" t="str">
        <f>IF(B30&lt;&gt;"",C30*UnosPodataka!$M$19,"")</f>
        <v/>
      </c>
      <c r="E30" s="2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2" t="str">
        <f t="shared" si="0"/>
        <v/>
      </c>
      <c r="D31" s="2" t="str">
        <f>IF(B31&lt;&gt;"",C31*UnosPodataka!$M$19,"")</f>
        <v/>
      </c>
      <c r="E31" s="2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2" t="str">
        <f t="shared" si="0"/>
        <v/>
      </c>
      <c r="D32" s="2" t="str">
        <f>IF(B32&lt;&gt;"",C32*UnosPodataka!$M$19,"")</f>
        <v/>
      </c>
      <c r="E32" s="2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N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59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13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4" t="s">
        <v>177</v>
      </c>
      <c r="G3" s="64"/>
      <c r="H3" s="64"/>
      <c r="I3" s="64"/>
    </row>
    <row r="7" spans="1:25" ht="21" x14ac:dyDescent="0.35">
      <c r="A7" s="71" t="s">
        <v>77</v>
      </c>
      <c r="B7" s="71"/>
      <c r="C7" s="71"/>
      <c r="D7" s="71"/>
      <c r="I7" s="68" t="s">
        <v>120</v>
      </c>
      <c r="J7" s="68"/>
      <c r="N7" s="69" t="s">
        <v>121</v>
      </c>
      <c r="O7" s="69"/>
    </row>
    <row r="9" spans="1:25" x14ac:dyDescent="0.25">
      <c r="A9" s="67" t="s">
        <v>61</v>
      </c>
      <c r="B9" s="67"/>
      <c r="C9" s="67"/>
      <c r="D9" s="67"/>
      <c r="E9" s="13">
        <v>0</v>
      </c>
      <c r="F9" s="13">
        <v>1</v>
      </c>
      <c r="G9" s="13">
        <f>IF(F9&lt;UnosPodataka!$M$24,FinaIndicators!F9+1,"")</f>
        <v>2</v>
      </c>
      <c r="H9" s="13">
        <f>IF(G9&lt;UnosPodataka!$M$24,FinaIndicators!G9+1,"")</f>
        <v>3</v>
      </c>
      <c r="I9" s="13">
        <f>IF(H9&lt;UnosPodataka!$M$24,FinaIndicators!H9+1,"")</f>
        <v>4</v>
      </c>
      <c r="J9" s="13">
        <f>IF(I9&lt;UnosPodataka!$M$24,FinaIndicators!I9+1,"")</f>
        <v>5</v>
      </c>
      <c r="K9" s="13">
        <f>IF(J9&lt;UnosPodataka!$M$24,FinaIndicators!J9+1,"")</f>
        <v>6</v>
      </c>
      <c r="L9" s="13">
        <f>IF(K9&lt;UnosPodataka!$M$24,FinaIndicators!K9+1,"")</f>
        <v>7</v>
      </c>
      <c r="M9" s="13">
        <f>IF(L9&lt;UnosPodataka!$M$24,FinaIndicators!L9+1,"")</f>
        <v>8</v>
      </c>
      <c r="N9" s="13">
        <f>IF(M9&lt;UnosPodataka!$M$24,FinaIndicators!M9+1,"")</f>
        <v>9</v>
      </c>
      <c r="O9" s="13">
        <f>IF(N9&lt;UnosPodataka!$M$24,FinaIndicators!N9+1,"")</f>
        <v>10</v>
      </c>
      <c r="P9" s="13">
        <f>IF(O9&lt;UnosPodataka!$M$24,FinaIndicators!O9+1,"")</f>
        <v>11</v>
      </c>
      <c r="Q9" s="13">
        <f>IF(P9&lt;UnosPodataka!$M$24,FinaIndicators!P9+1,"")</f>
        <v>12</v>
      </c>
      <c r="R9" s="13">
        <f>IF(Q9&lt;UnosPodataka!$M$24,FinaIndicators!Q9+1,"")</f>
        <v>13</v>
      </c>
      <c r="S9" s="13">
        <f>IF(R9&lt;UnosPodataka!$M$24,FinaIndicators!R9+1,"")</f>
        <v>14</v>
      </c>
      <c r="T9" s="13">
        <f>IF(S9&lt;UnosPodataka!$M$24,FinaIndicators!S9+1,"")</f>
        <v>15</v>
      </c>
      <c r="U9" s="13">
        <f>IF(T9&lt;UnosPodataka!$M$24,FinaIndicators!T9+1,"")</f>
        <v>16</v>
      </c>
      <c r="V9" s="13">
        <f>IF(U9&lt;UnosPodataka!$M$24,FinaIndicators!U9+1,"")</f>
        <v>17</v>
      </c>
      <c r="W9" s="13">
        <f>IF(V9&lt;UnosPodataka!$M$24,FinaIndicators!V9+1,"")</f>
        <v>18</v>
      </c>
      <c r="X9" s="13">
        <f>IF(W9&lt;UnosPodataka!$M$24,FinaIndicators!W9+1,"")</f>
        <v>19</v>
      </c>
      <c r="Y9" s="13">
        <f>IF(X9&lt;UnosPodataka!$M$24,FinaIndicators!X9+1,"")</f>
        <v>20</v>
      </c>
    </row>
    <row r="11" spans="1:25" x14ac:dyDescent="0.25">
      <c r="A11" s="75" t="s">
        <v>78</v>
      </c>
      <c r="B11" s="75"/>
      <c r="C11" s="75"/>
      <c r="D11" s="75"/>
      <c r="E11" s="2">
        <f>LOAN</f>
        <v>27000</v>
      </c>
    </row>
    <row r="12" spans="1:25" x14ac:dyDescent="0.25">
      <c r="A12" s="75" t="s">
        <v>79</v>
      </c>
      <c r="B12" s="75"/>
      <c r="C12" s="75"/>
      <c r="D12" s="75"/>
      <c r="E12" s="2">
        <f>IF(Equity=0,LOAN,Equity)</f>
        <v>17000</v>
      </c>
    </row>
    <row r="13" spans="1:25" x14ac:dyDescent="0.25">
      <c r="A13" s="75" t="s">
        <v>142</v>
      </c>
      <c r="B13" s="75"/>
      <c r="C13" s="75"/>
      <c r="D13" s="75"/>
    </row>
    <row r="14" spans="1:25" x14ac:dyDescent="0.25">
      <c r="A14" s="75" t="s">
        <v>90</v>
      </c>
      <c r="B14" s="75"/>
      <c r="C14" s="75"/>
      <c r="D14" s="75"/>
      <c r="F14" s="2">
        <f>IF(F9&lt;&gt;"",Ustede!$F$14,"")</f>
        <v>128.4</v>
      </c>
      <c r="G14" s="2">
        <f>IF(G9&lt;&gt;"",Ustede!$F$14,"")</f>
        <v>128.4</v>
      </c>
      <c r="H14" s="2">
        <f>IF(H9&lt;&gt;"",Ustede!$F$14,"")</f>
        <v>128.4</v>
      </c>
      <c r="I14" s="2">
        <f>IF(I9&lt;&gt;"",Ustede!$F$14,"")</f>
        <v>128.4</v>
      </c>
      <c r="J14" s="2">
        <f>IF(J9&lt;&gt;"",Ustede!$F$14,"")</f>
        <v>128.4</v>
      </c>
      <c r="K14" s="2">
        <f>IF(K9&lt;&gt;"",Ustede!$F$14,"")</f>
        <v>128.4</v>
      </c>
      <c r="L14" s="2">
        <f>IF(L9&lt;&gt;"",Ustede!$F$14,"")</f>
        <v>128.4</v>
      </c>
      <c r="M14" s="2">
        <f>IF(M9&lt;&gt;"",Ustede!$F$14,"")</f>
        <v>128.4</v>
      </c>
      <c r="N14" s="2">
        <f>IF(N9&lt;&gt;"",Ustede!$F$14,"")</f>
        <v>128.4</v>
      </c>
      <c r="O14" s="2">
        <f>IF(O9&lt;&gt;"",Ustede!$F$14,"")</f>
        <v>128.4</v>
      </c>
      <c r="P14" s="2">
        <f>IF(P9&lt;&gt;"",Ustede!$F$14,"")</f>
        <v>128.4</v>
      </c>
      <c r="Q14" s="2">
        <f>IF(Q9&lt;&gt;"",Ustede!$F$14,"")</f>
        <v>128.4</v>
      </c>
      <c r="R14" s="2">
        <f>IF(R9&lt;&gt;"",Ustede!$F$14,"")</f>
        <v>128.4</v>
      </c>
      <c r="S14" s="2">
        <f>IF(S9&lt;&gt;"",Ustede!$F$14,"")</f>
        <v>128.4</v>
      </c>
      <c r="T14" s="2">
        <f>IF(T9&lt;&gt;"",Ustede!$F$14,"")</f>
        <v>128.4</v>
      </c>
      <c r="U14" s="2">
        <f>IF(U9&lt;&gt;"",Ustede!$F$14,"")</f>
        <v>128.4</v>
      </c>
      <c r="V14" s="2">
        <f>IF(V9&lt;&gt;"",Ustede!$F$14,"")</f>
        <v>128.4</v>
      </c>
      <c r="W14" s="2">
        <f>IF(W9&lt;&gt;"",Ustede!$F$14,"")</f>
        <v>128.4</v>
      </c>
      <c r="X14" s="2">
        <f>IF(X9&lt;&gt;"",Ustede!$F$14,"")</f>
        <v>128.4</v>
      </c>
      <c r="Y14" s="2">
        <f>IF(Y9&lt;&gt;"",Ustede!$F$14,"")</f>
        <v>128.4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7" t="s">
        <v>143</v>
      </c>
      <c r="B16" s="67"/>
      <c r="C16" s="67"/>
      <c r="D16" s="6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75" t="s">
        <v>80</v>
      </c>
      <c r="B17" s="75"/>
      <c r="C17" s="75"/>
      <c r="D17" s="75"/>
      <c r="F17" s="2">
        <f>IF(F9&lt;&gt;"",Ustede!$F$15,"")</f>
        <v>13224.473091876407</v>
      </c>
      <c r="G17" s="2">
        <f>IF(G9&lt;&gt;"",Ustede!$F$15,"")</f>
        <v>13224.473091876407</v>
      </c>
      <c r="H17" s="2">
        <f>IF(H9&lt;&gt;"",Ustede!$F$15,"")</f>
        <v>13224.473091876407</v>
      </c>
      <c r="I17" s="2">
        <f>IF(I9&lt;&gt;"",Ustede!$F$15,"")</f>
        <v>13224.473091876407</v>
      </c>
      <c r="J17" s="2">
        <f>IF(J9&lt;&gt;"",Ustede!$F$15,"")</f>
        <v>13224.473091876407</v>
      </c>
      <c r="K17" s="2">
        <f>IF(K9&lt;&gt;"",Ustede!$F$15,"")</f>
        <v>13224.473091876407</v>
      </c>
      <c r="L17" s="2">
        <f>IF(L9&lt;&gt;"",Ustede!$F$15,"")</f>
        <v>13224.473091876407</v>
      </c>
      <c r="M17" s="2">
        <f>IF(M9&lt;&gt;"",Ustede!$F$15,"")</f>
        <v>13224.473091876407</v>
      </c>
      <c r="N17" s="2">
        <f>IF(N9&lt;&gt;"",Ustede!$F$15,"")</f>
        <v>13224.473091876407</v>
      </c>
      <c r="O17" s="2">
        <f>IF(O9&lt;&gt;"",Ustede!$F$15,"")</f>
        <v>13224.473091876407</v>
      </c>
      <c r="P17" s="2">
        <f>IF(P9&lt;&gt;"",Ustede!$F$15,"")</f>
        <v>13224.473091876407</v>
      </c>
      <c r="Q17" s="2">
        <f>IF(Q9&lt;&gt;"",Ustede!$F$15,"")</f>
        <v>13224.473091876407</v>
      </c>
      <c r="R17" s="2">
        <f>IF(R9&lt;&gt;"",Ustede!$F$15,"")</f>
        <v>13224.473091876407</v>
      </c>
      <c r="S17" s="2">
        <f>IF(S9&lt;&gt;"",Ustede!$F$15,"")</f>
        <v>13224.473091876407</v>
      </c>
      <c r="T17" s="2">
        <f>IF(T9&lt;&gt;"",Ustede!$F$15,"")</f>
        <v>13224.473091876407</v>
      </c>
      <c r="U17" s="2">
        <f>IF(U9&lt;&gt;"",Ustede!$F$15,"")</f>
        <v>13224.473091876407</v>
      </c>
      <c r="V17" s="2">
        <f>IF(V9&lt;&gt;"",Ustede!$F$15,"")</f>
        <v>13224.473091876407</v>
      </c>
      <c r="W17" s="2">
        <f>IF(W9&lt;&gt;"",Ustede!$F$15,"")</f>
        <v>13224.473091876407</v>
      </c>
      <c r="X17" s="2">
        <f>IF(X9&lt;&gt;"",Ustede!$F$15,"")</f>
        <v>13224.473091876407</v>
      </c>
      <c r="Y17" s="2">
        <f>IF(Y9&lt;&gt;"",Ustede!$F$15,"")</f>
        <v>13224.473091876407</v>
      </c>
    </row>
    <row r="18" spans="1:25" x14ac:dyDescent="0.25">
      <c r="A18" s="79" t="s">
        <v>81</v>
      </c>
      <c r="B18" s="79"/>
      <c r="C18" s="79"/>
      <c r="D18" s="79"/>
      <c r="E18" s="32"/>
      <c r="F18" s="33">
        <f t="shared" ref="F18:Y18" si="0">IF(F9&lt;&gt;"",F17,"")</f>
        <v>13224.473091876407</v>
      </c>
      <c r="G18" s="33">
        <f t="shared" si="0"/>
        <v>13224.473091876407</v>
      </c>
      <c r="H18" s="33">
        <f t="shared" si="0"/>
        <v>13224.473091876407</v>
      </c>
      <c r="I18" s="33">
        <f t="shared" si="0"/>
        <v>13224.473091876407</v>
      </c>
      <c r="J18" s="33">
        <f t="shared" si="0"/>
        <v>13224.473091876407</v>
      </c>
      <c r="K18" s="33">
        <f t="shared" si="0"/>
        <v>13224.473091876407</v>
      </c>
      <c r="L18" s="33">
        <f t="shared" si="0"/>
        <v>13224.473091876407</v>
      </c>
      <c r="M18" s="33">
        <f t="shared" si="0"/>
        <v>13224.473091876407</v>
      </c>
      <c r="N18" s="33">
        <f t="shared" si="0"/>
        <v>13224.473091876407</v>
      </c>
      <c r="O18" s="33">
        <f t="shared" si="0"/>
        <v>13224.473091876407</v>
      </c>
      <c r="P18" s="33">
        <f t="shared" si="0"/>
        <v>13224.473091876407</v>
      </c>
      <c r="Q18" s="33">
        <f t="shared" si="0"/>
        <v>13224.473091876407</v>
      </c>
      <c r="R18" s="33">
        <f t="shared" si="0"/>
        <v>13224.473091876407</v>
      </c>
      <c r="S18" s="33">
        <f t="shared" si="0"/>
        <v>13224.473091876407</v>
      </c>
      <c r="T18" s="33">
        <f t="shared" si="0"/>
        <v>13224.473091876407</v>
      </c>
      <c r="U18" s="33">
        <f t="shared" si="0"/>
        <v>13224.473091876407</v>
      </c>
      <c r="V18" s="33">
        <f t="shared" si="0"/>
        <v>13224.473091876407</v>
      </c>
      <c r="W18" s="33">
        <f t="shared" si="0"/>
        <v>13224.473091876407</v>
      </c>
      <c r="X18" s="33">
        <f t="shared" si="0"/>
        <v>13224.473091876407</v>
      </c>
      <c r="Y18" s="33">
        <f t="shared" si="0"/>
        <v>13224.473091876407</v>
      </c>
    </row>
    <row r="19" spans="1:25" x14ac:dyDescent="0.25">
      <c r="A19" s="76"/>
      <c r="B19" s="76"/>
      <c r="C19" s="76"/>
      <c r="D19" s="76"/>
    </row>
    <row r="20" spans="1:25" x14ac:dyDescent="0.25">
      <c r="A20" s="67" t="s">
        <v>144</v>
      </c>
      <c r="B20" s="67"/>
      <c r="C20" s="67"/>
      <c r="D20" s="67"/>
    </row>
    <row r="21" spans="1:25" x14ac:dyDescent="0.25">
      <c r="A21" s="75" t="s">
        <v>145</v>
      </c>
      <c r="B21" s="75"/>
      <c r="C21" s="75"/>
      <c r="D21" s="75"/>
      <c r="F21" s="2">
        <f>IF(F9&gt;UnosPodataka!$M$21,"",-VLOOKUP(F9,Anuiteti!$B$13:$E$32,3,FALSE))</f>
        <v>-3240</v>
      </c>
      <c r="G21" s="2">
        <f>IF(G9&gt;UnosPodataka!$M$21,"",-VLOOKUP(G9,Anuiteti!$B$13:$E$32,3,FALSE))</f>
        <v>-2562.080426369565</v>
      </c>
      <c r="H21" s="2">
        <f>IF(H9&gt;UnosPodataka!$M$21,"",-VLOOKUP(H9,Anuiteti!$B$13:$E$32,3,FALSE))</f>
        <v>-1802.8105039034776</v>
      </c>
      <c r="I21" s="2">
        <f>IF(I9&gt;UnosPodataka!$M$21,"",-VLOOKUP(I9,Anuiteti!$B$13:$E$32,3,FALSE))</f>
        <v>-952.42819074145996</v>
      </c>
      <c r="J21" s="2" t="str">
        <f>IF(J9&gt;UnosPodataka!$M$21,"",-VLOOKUP(J9,Anuiteti!$B$13:$E$32,3,FALSE))</f>
        <v/>
      </c>
      <c r="K21" s="2" t="str">
        <f>IF(K9&gt;UnosPodataka!$M$21,"",-VLOOKUP(K9,Anuiteti!$B$13:$E$32,3,FALSE))</f>
        <v/>
      </c>
      <c r="L21" s="2" t="str">
        <f>IF(L9&gt;UnosPodataka!$M$21,"",-VLOOKUP(L9,Anuiteti!$B$13:$E$32,3,FALSE))</f>
        <v/>
      </c>
      <c r="M21" s="2" t="str">
        <f>IF(M9&gt;UnosPodataka!$M$21,"",-VLOOKUP(M9,Anuiteti!$B$13:$E$32,3,FALSE))</f>
        <v/>
      </c>
      <c r="N21" s="2" t="str">
        <f>IF(N9&gt;UnosPodataka!$M$21,"",-VLOOKUP(N9,Anuiteti!$B$13:$E$32,3,FALSE))</f>
        <v/>
      </c>
      <c r="O21" s="2" t="str">
        <f>IF(O9&gt;UnosPodataka!$M$21,"",-VLOOKUP(O9,Anuiteti!$B$13:$E$32,3,FALSE))</f>
        <v/>
      </c>
      <c r="P21" s="2" t="str">
        <f>IF(P9&gt;UnosPodataka!$M$21,"",-VLOOKUP(P9,Anuiteti!$B$13:$E$32,3,FALSE))</f>
        <v/>
      </c>
      <c r="Q21" s="2" t="str">
        <f>IF(Q9&gt;UnosPodataka!$M$21,"",-VLOOKUP(Q9,Anuiteti!$B$13:$E$32,3,FALSE))</f>
        <v/>
      </c>
      <c r="R21" s="2" t="str">
        <f>IF(R9&gt;UnosPodataka!$M$21,"",-VLOOKUP(R9,Anuiteti!$B$13:$E$32,3,FALSE))</f>
        <v/>
      </c>
      <c r="S21" s="2" t="str">
        <f>IF(S9&gt;UnosPodataka!$M$21,"",-VLOOKUP(S9,Anuiteti!$B$13:$E$32,3,FALSE))</f>
        <v/>
      </c>
      <c r="T21" s="2" t="str">
        <f>IF(T9&gt;UnosPodataka!$M$21,"",-VLOOKUP(T9,Anuiteti!$B$13:$E$32,3,FALSE))</f>
        <v/>
      </c>
      <c r="U21" s="2" t="str">
        <f>IF(U9&gt;UnosPodataka!$M$21,"",-VLOOKUP(U9,Anuiteti!$B$13:$E$32,3,FALSE))</f>
        <v/>
      </c>
      <c r="V21" s="2" t="str">
        <f>IF(V9&gt;UnosPodataka!$M$21,"",-VLOOKUP(V9,Anuiteti!$B$13:$E$32,3,FALSE))</f>
        <v/>
      </c>
      <c r="W21" s="2" t="str">
        <f>IF(W9&gt;UnosPodataka!$M$21,"",-VLOOKUP(W9,Anuiteti!$B$13:$E$32,3,FALSE))</f>
        <v/>
      </c>
      <c r="X21" s="2" t="str">
        <f>IF(X9&gt;UnosPodataka!$M$21,"",-VLOOKUP(X9,Anuiteti!$B$13:$E$32,3,FALSE))</f>
        <v/>
      </c>
      <c r="Y21" s="2" t="str">
        <f>IF(Y9&gt;UnosPodataka!$M$21,"",-VLOOKUP(Y9,Anuiteti!$B$13:$E$32,3,FALSE))</f>
        <v/>
      </c>
    </row>
    <row r="22" spans="1:25" x14ac:dyDescent="0.25">
      <c r="A22" s="75" t="s">
        <v>146</v>
      </c>
      <c r="B22" s="75"/>
      <c r="C22" s="75"/>
      <c r="D22" s="75"/>
      <c r="F22" s="2">
        <f>IF(F21="",0,IF(F9&gt;UnosPodataka!$M$21,"",VLOOKUP(F9,Anuiteti!$B$13:$E$32,4,FALSE)+VLOOKUP(F9,Anuiteti!$B$13:$E$32,3,FALSE)))</f>
        <v>-5649.3297802536254</v>
      </c>
      <c r="G22" s="2">
        <f>IF(G21="",0,IF(G9&gt;UnosPodataka!$M$21,"",VLOOKUP(G9,Anuiteti!$B$13:$E$32,4,FALSE)+VLOOKUP(G9,Anuiteti!$B$13:$E$32,3,FALSE)))</f>
        <v>-6327.2493538840608</v>
      </c>
      <c r="H22" s="2">
        <f>IF(H21="",0,IF(H9&gt;UnosPodataka!$M$21,"",VLOOKUP(H9,Anuiteti!$B$13:$E$32,4,FALSE)+VLOOKUP(H9,Anuiteti!$B$13:$E$32,3,FALSE)))</f>
        <v>-7086.5192763501473</v>
      </c>
      <c r="I22" s="2">
        <f>IF(I21="",0,IF(I9&gt;UnosPodataka!$M$21,"",VLOOKUP(I9,Anuiteti!$B$13:$E$32,4,FALSE)+VLOOKUP(I9,Anuiteti!$B$13:$E$32,3,FALSE)))</f>
        <v>-7936.9015895121656</v>
      </c>
      <c r="J22" s="2">
        <f>IF(J21="",0,IF(J9&gt;UnosPodataka!$M$21,"",VLOOKUP(J9,Anuiteti!$B$13:$E$32,4,FALSE)+VLOOKUP(J9,Anuiteti!$B$13:$E$32,3,FALSE)))</f>
        <v>0</v>
      </c>
      <c r="K22" s="2">
        <f>IF(K21="",0,IF(K9&gt;UnosPodataka!$M$21,"",VLOOKUP(K9,Anuiteti!$B$13:$E$32,4,FALSE)+VLOOKUP(K9,Anuiteti!$B$13:$E$32,3,FALSE)))</f>
        <v>0</v>
      </c>
      <c r="L22" s="2">
        <f>IF(L21="",0,IF(L9&gt;UnosPodataka!$M$21,"",VLOOKUP(L9,Anuiteti!$B$13:$E$32,4,FALSE)+VLOOKUP(L9,Anuiteti!$B$13:$E$32,3,FALSE)))</f>
        <v>0</v>
      </c>
      <c r="M22" s="2">
        <f>IF(M21="",0,IF(M9&gt;UnosPodataka!$M$21,"",VLOOKUP(M9,Anuiteti!$B$13:$E$32,4,FALSE)+VLOOKUP(M9,Anuiteti!$B$13:$E$32,3,FALSE)))</f>
        <v>0</v>
      </c>
      <c r="N22" s="2">
        <f>IF(N21="",0,IF(N9&gt;UnosPodataka!$M$21,"",VLOOKUP(N9,Anuiteti!$B$13:$E$32,4,FALSE)+VLOOKUP(N9,Anuiteti!$B$13:$E$32,3,FALSE)))</f>
        <v>0</v>
      </c>
      <c r="O22" s="2">
        <f>IF(O21="",0,IF(O9&gt;UnosPodataka!$M$21,"",VLOOKUP(O9,Anuiteti!$B$13:$E$32,4,FALSE)+VLOOKUP(O9,Anuiteti!$B$13:$E$32,3,FALSE)))</f>
        <v>0</v>
      </c>
      <c r="P22" s="2">
        <f>IF(P21="",0,IF(P9&gt;UnosPodataka!$M$21,"",VLOOKUP(P9,Anuiteti!$B$13:$E$32,4,FALSE)+VLOOKUP(P9,Anuiteti!$B$13:$E$32,3,FALSE)))</f>
        <v>0</v>
      </c>
      <c r="Q22" s="2">
        <f>IF(Q21="",0,IF(Q9&gt;UnosPodataka!$M$21,"",VLOOKUP(Q9,Anuiteti!$B$13:$E$32,4,FALSE)+VLOOKUP(Q9,Anuiteti!$B$13:$E$32,3,FALSE)))</f>
        <v>0</v>
      </c>
      <c r="R22" s="2">
        <f>IF(R21="",0,IF(R9&gt;UnosPodataka!$M$21,"",VLOOKUP(R9,Anuiteti!$B$13:$E$32,4,FALSE)+VLOOKUP(R9,Anuiteti!$B$13:$E$32,3,FALSE)))</f>
        <v>0</v>
      </c>
      <c r="S22" s="2">
        <f>IF(S21="",0,IF(S9&gt;UnosPodataka!$M$21,"",VLOOKUP(S9,Anuiteti!$B$13:$E$32,4,FALSE)+VLOOKUP(S9,Anuiteti!$B$13:$E$32,3,FALSE)))</f>
        <v>0</v>
      </c>
      <c r="T22" s="2">
        <f>IF(T21="",0,IF(T9&gt;UnosPodataka!$M$21,"",VLOOKUP(T9,Anuiteti!$B$13:$E$32,4,FALSE)+VLOOKUP(T9,Anuiteti!$B$13:$E$32,3,FALSE)))</f>
        <v>0</v>
      </c>
      <c r="U22" s="2">
        <f>IF(U21="",0,IF(U9&gt;UnosPodataka!$M$21,"",VLOOKUP(U9,Anuiteti!$B$13:$E$32,4,FALSE)+VLOOKUP(U9,Anuiteti!$B$13:$E$32,3,FALSE)))</f>
        <v>0</v>
      </c>
      <c r="V22" s="2">
        <f>IF(V21="",0,IF(V9&gt;UnosPodataka!$M$21,"",VLOOKUP(V9,Anuiteti!$B$13:$E$32,4,FALSE)+VLOOKUP(V9,Anuiteti!$B$13:$E$32,3,FALSE)))</f>
        <v>0</v>
      </c>
      <c r="W22" s="2">
        <f>IF(W21="",0,IF(W9&gt;UnosPodataka!$M$21,"",VLOOKUP(W9,Anuiteti!$B$13:$E$32,4,FALSE)+VLOOKUP(W9,Anuiteti!$B$13:$E$32,3,FALSE)))</f>
        <v>0</v>
      </c>
      <c r="X22" s="2">
        <f>IF(X21="",0,IF(X9&gt;UnosPodataka!$M$21,"",VLOOKUP(X9,Anuiteti!$B$13:$E$32,4,FALSE)+VLOOKUP(X9,Anuiteti!$B$13:$E$32,3,FALSE)))</f>
        <v>0</v>
      </c>
      <c r="Y22" s="2">
        <f>IF(Y21="",0,IF(Y9&gt;UnosPodataka!$M$21,"",VLOOKUP(Y9,Anuiteti!$B$13:$E$32,4,FALSE)+VLOOKUP(Y9,Anuiteti!$B$13:$E$32,3,FALSE)))</f>
        <v>0</v>
      </c>
    </row>
    <row r="23" spans="1:25" x14ac:dyDescent="0.25">
      <c r="A23" s="75" t="s">
        <v>82</v>
      </c>
      <c r="B23" s="75"/>
      <c r="C23" s="75"/>
      <c r="D23" s="75"/>
      <c r="F23" s="2">
        <f>IF(F9&lt;&gt;"",-UnosPodataka!$M$9,"")</f>
        <v>-100</v>
      </c>
      <c r="G23" s="2">
        <f>IF(G9&lt;&gt;"",-UnosPodataka!$M$9,"")</f>
        <v>-100</v>
      </c>
      <c r="H23" s="2">
        <f>IF(H9&lt;&gt;"",-UnosPodataka!$M$9,"")</f>
        <v>-100</v>
      </c>
      <c r="I23" s="2">
        <f>IF(I9&lt;&gt;"",-UnosPodataka!$M$9,"")</f>
        <v>-100</v>
      </c>
      <c r="J23" s="2">
        <f>IF(J9&lt;&gt;"",-UnosPodataka!$M$9,"")</f>
        <v>-100</v>
      </c>
      <c r="K23" s="2">
        <f>IF(K9&lt;&gt;"",-UnosPodataka!$M$9,"")</f>
        <v>-100</v>
      </c>
      <c r="L23" s="2">
        <f>IF(L9&lt;&gt;"",-UnosPodataka!$M$9,"")</f>
        <v>-100</v>
      </c>
      <c r="M23" s="2">
        <f>IF(M9&lt;&gt;"",-UnosPodataka!$M$9,"")</f>
        <v>-100</v>
      </c>
      <c r="N23" s="2">
        <f>IF(N9&lt;&gt;"",-UnosPodataka!$M$9,"")</f>
        <v>-100</v>
      </c>
      <c r="O23" s="2">
        <f>IF(O9&lt;&gt;"",-UnosPodataka!$M$9,"")</f>
        <v>-100</v>
      </c>
      <c r="P23" s="2">
        <f>IF(P9&lt;&gt;"",-UnosPodataka!$M$9,"")</f>
        <v>-100</v>
      </c>
      <c r="Q23" s="2">
        <f>IF(Q9&lt;&gt;"",-UnosPodataka!$M$9,"")</f>
        <v>-100</v>
      </c>
      <c r="R23" s="2">
        <f>IF(R9&lt;&gt;"",-UnosPodataka!$M$9,"")</f>
        <v>-100</v>
      </c>
      <c r="S23" s="2">
        <f>IF(S9&lt;&gt;"",-UnosPodataka!$M$9,"")</f>
        <v>-100</v>
      </c>
      <c r="T23" s="2">
        <f>IF(T9&lt;&gt;"",-UnosPodataka!$M$9,"")</f>
        <v>-100</v>
      </c>
      <c r="U23" s="2">
        <f>IF(U9&lt;&gt;"",-UnosPodataka!$M$9,"")</f>
        <v>-100</v>
      </c>
      <c r="V23" s="2">
        <f>IF(V9&lt;&gt;"",-UnosPodataka!$M$9,"")</f>
        <v>-100</v>
      </c>
      <c r="W23" s="2">
        <f>IF(W9&lt;&gt;"",-UnosPodataka!$M$9,"")</f>
        <v>-100</v>
      </c>
      <c r="X23" s="2">
        <f>IF(X9&lt;&gt;"",-UnosPodataka!$M$9,"")</f>
        <v>-100</v>
      </c>
      <c r="Y23" s="2">
        <f>IF(Y9&lt;&gt;"",-UnosPodataka!$M$9,"")</f>
        <v>-100</v>
      </c>
    </row>
    <row r="24" spans="1:25" x14ac:dyDescent="0.25">
      <c r="A24" s="75" t="s">
        <v>83</v>
      </c>
      <c r="B24" s="75"/>
      <c r="C24" s="75"/>
      <c r="D24" s="75"/>
      <c r="F24" s="2">
        <f>IF(F9&lt;&gt;"",-Investment*UnosPodataka!$M$11,"")</f>
        <v>-2200</v>
      </c>
      <c r="G24" s="2">
        <f>IF(G9&lt;&gt;"",-Investment*UnosPodataka!$M$11,"")</f>
        <v>-2200</v>
      </c>
      <c r="H24" s="2">
        <f>IF(H9&lt;&gt;"",-Investment*UnosPodataka!$M$11,"")</f>
        <v>-2200</v>
      </c>
      <c r="I24" s="2">
        <f>IF(I9&lt;&gt;"",-Investment*UnosPodataka!$M$11,"")</f>
        <v>-2200</v>
      </c>
      <c r="J24" s="2">
        <f>IF(J9&lt;&gt;"",-Investment*UnosPodataka!$M$11,"")</f>
        <v>-2200</v>
      </c>
      <c r="K24" s="2">
        <f>IF(K9&lt;&gt;"",-Investment*UnosPodataka!$M$11,"")</f>
        <v>-2200</v>
      </c>
      <c r="L24" s="2">
        <f>IF(L9&lt;&gt;"",-Investment*UnosPodataka!$M$11,"")</f>
        <v>-2200</v>
      </c>
      <c r="M24" s="2">
        <f>IF(M9&lt;&gt;"",-Investment*UnosPodataka!$M$11,"")</f>
        <v>-2200</v>
      </c>
      <c r="N24" s="2">
        <f>IF(N9&lt;&gt;"",-Investment*UnosPodataka!$M$11,"")</f>
        <v>-2200</v>
      </c>
      <c r="O24" s="2">
        <f>IF(O9&lt;&gt;"",-Investment*UnosPodataka!$M$11,"")</f>
        <v>-2200</v>
      </c>
      <c r="P24" s="2">
        <f>IF(P9&lt;&gt;"",-Investment*UnosPodataka!$M$11,"")</f>
        <v>-2200</v>
      </c>
      <c r="Q24" s="2">
        <f>IF(Q9&lt;&gt;"",-Investment*UnosPodataka!$M$11,"")</f>
        <v>-2200</v>
      </c>
      <c r="R24" s="2">
        <f>IF(R9&lt;&gt;"",-Investment*UnosPodataka!$M$11,"")</f>
        <v>-2200</v>
      </c>
      <c r="S24" s="2">
        <f>IF(S9&lt;&gt;"",-Investment*UnosPodataka!$M$11,"")</f>
        <v>-2200</v>
      </c>
      <c r="T24" s="2">
        <f>IF(T9&lt;&gt;"",-Investment*UnosPodataka!$M$11,"")</f>
        <v>-2200</v>
      </c>
      <c r="U24" s="2">
        <f>IF(U9&lt;&gt;"",-Investment*UnosPodataka!$M$11,"")</f>
        <v>-2200</v>
      </c>
      <c r="V24" s="2">
        <f>IF(V9&lt;&gt;"",-Investment*UnosPodataka!$M$11,"")</f>
        <v>-2200</v>
      </c>
      <c r="W24" s="2">
        <f>IF(W9&lt;&gt;"",-Investment*UnosPodataka!$M$11,"")</f>
        <v>-2200</v>
      </c>
      <c r="X24" s="2">
        <f>IF(X9&lt;&gt;"",-Investment*UnosPodataka!$M$11,"")</f>
        <v>-2200</v>
      </c>
      <c r="Y24" s="2">
        <f>IF(Y9&lt;&gt;"",-Investment*UnosPodataka!$M$11,"")</f>
        <v>-2200</v>
      </c>
    </row>
    <row r="25" spans="1:25" x14ac:dyDescent="0.25">
      <c r="A25" s="75" t="s">
        <v>84</v>
      </c>
      <c r="B25" s="75"/>
      <c r="C25" s="75"/>
      <c r="D25" s="75"/>
      <c r="F25" s="2">
        <f>IF(F9&lt;&gt;"",0,0)</f>
        <v>0</v>
      </c>
      <c r="G25" s="2">
        <f t="shared" ref="G25:Y25" si="1">IF(G9&lt;&gt;"",0,0)</f>
        <v>0</v>
      </c>
      <c r="H25" s="2">
        <f t="shared" si="1"/>
        <v>0</v>
      </c>
      <c r="I25" s="2">
        <f t="shared" si="1"/>
        <v>0</v>
      </c>
      <c r="J25" s="2">
        <f t="shared" si="1"/>
        <v>0</v>
      </c>
      <c r="K25" s="2">
        <f t="shared" si="1"/>
        <v>0</v>
      </c>
      <c r="L25" s="2">
        <f t="shared" si="1"/>
        <v>0</v>
      </c>
      <c r="M25" s="2">
        <f t="shared" si="1"/>
        <v>0</v>
      </c>
      <c r="N25" s="2">
        <f t="shared" si="1"/>
        <v>0</v>
      </c>
      <c r="O25" s="2">
        <f t="shared" si="1"/>
        <v>0</v>
      </c>
      <c r="P25" s="2">
        <f t="shared" si="1"/>
        <v>0</v>
      </c>
      <c r="Q25" s="2">
        <f t="shared" si="1"/>
        <v>0</v>
      </c>
      <c r="R25" s="2">
        <f t="shared" si="1"/>
        <v>0</v>
      </c>
      <c r="S25" s="2">
        <f t="shared" si="1"/>
        <v>0</v>
      </c>
      <c r="T25" s="2">
        <f t="shared" si="1"/>
        <v>0</v>
      </c>
      <c r="U25" s="2">
        <f t="shared" si="1"/>
        <v>0</v>
      </c>
      <c r="V25" s="2">
        <f t="shared" si="1"/>
        <v>0</v>
      </c>
      <c r="W25" s="2">
        <f t="shared" si="1"/>
        <v>0</v>
      </c>
      <c r="X25" s="2">
        <f t="shared" si="1"/>
        <v>0</v>
      </c>
      <c r="Y25" s="2">
        <f t="shared" si="1"/>
        <v>0</v>
      </c>
    </row>
    <row r="26" spans="1:25" x14ac:dyDescent="0.25">
      <c r="A26" s="75" t="s">
        <v>147</v>
      </c>
      <c r="B26" s="75"/>
      <c r="C26" s="75"/>
      <c r="D26" s="75"/>
      <c r="F26" s="2">
        <f>IF(F9&lt;&gt;"",-Investment*UnosPodataka!$M$12,"")</f>
        <v>-4400</v>
      </c>
      <c r="G26" s="2">
        <f>IF(G9&lt;&gt;"",-Investment*UnosPodataka!$M$12,"")</f>
        <v>-4400</v>
      </c>
      <c r="H26" s="2">
        <f>IF(H9&lt;&gt;"",-Investment*UnosPodataka!$M$12,"")</f>
        <v>-4400</v>
      </c>
      <c r="I26" s="2">
        <f>IF(I9&lt;&gt;"",-Investment*UnosPodataka!$M$12,"")</f>
        <v>-4400</v>
      </c>
      <c r="J26" s="2">
        <f>IF(J9&lt;&gt;"",-Investment*UnosPodataka!$M$12,"")</f>
        <v>-4400</v>
      </c>
      <c r="K26" s="2">
        <f>IF(K9&lt;&gt;"",-Investment*UnosPodataka!$M$12,"")</f>
        <v>-4400</v>
      </c>
      <c r="L26" s="2">
        <f>IF(L9&lt;&gt;"",-Investment*UnosPodataka!$M$12,"")</f>
        <v>-4400</v>
      </c>
      <c r="M26" s="2">
        <f>IF(M9&lt;&gt;"",-Investment*UnosPodataka!$M$12,"")</f>
        <v>-4400</v>
      </c>
      <c r="N26" s="2">
        <f>IF(N9&lt;&gt;"",-Investment*UnosPodataka!$M$12,"")</f>
        <v>-4400</v>
      </c>
      <c r="O26" s="2">
        <f>IF(O9&lt;&gt;"",-Investment*UnosPodataka!$M$12,"")</f>
        <v>-4400</v>
      </c>
      <c r="P26" s="2">
        <f>IF(P9&lt;&gt;"",-Investment*UnosPodataka!$M$12,"")</f>
        <v>-4400</v>
      </c>
      <c r="Q26" s="2">
        <f>IF(Q9&lt;&gt;"",-Investment*UnosPodataka!$M$12,"")</f>
        <v>-4400</v>
      </c>
      <c r="R26" s="2">
        <f>IF(R9&lt;&gt;"",-Investment*UnosPodataka!$M$12,"")</f>
        <v>-4400</v>
      </c>
      <c r="S26" s="2">
        <f>IF(S9&lt;&gt;"",-Investment*UnosPodataka!$M$12,"")</f>
        <v>-4400</v>
      </c>
      <c r="T26" s="2">
        <f>IF(T9&lt;&gt;"",-Investment*UnosPodataka!$M$12,"")</f>
        <v>-4400</v>
      </c>
      <c r="U26" s="2">
        <f>IF(U9&lt;&gt;"",-Investment*UnosPodataka!$M$12,"")</f>
        <v>-4400</v>
      </c>
      <c r="V26" s="2">
        <f>IF(V9&lt;&gt;"",-Investment*UnosPodataka!$M$12,"")</f>
        <v>-4400</v>
      </c>
      <c r="W26" s="2">
        <f>IF(W9&lt;&gt;"",-Investment*UnosPodataka!$M$12,"")</f>
        <v>-4400</v>
      </c>
      <c r="X26" s="2">
        <f>IF(X9&lt;&gt;"",-Investment*UnosPodataka!$M$12,"")</f>
        <v>-4400</v>
      </c>
      <c r="Y26" s="2">
        <f>IF(Y9&lt;&gt;"",-Investment*UnosPodataka!$M$12,"")</f>
        <v>-4400</v>
      </c>
    </row>
    <row r="27" spans="1:25" x14ac:dyDescent="0.25">
      <c r="A27" s="75" t="s">
        <v>123</v>
      </c>
      <c r="B27" s="75"/>
      <c r="C27" s="75"/>
      <c r="D27" s="75"/>
      <c r="F27" s="2">
        <f>IF(F9&lt;&gt;"",-(1-UnosPodataka!$M$10)*FinaIndicators!F18,"")</f>
        <v>0</v>
      </c>
      <c r="G27" s="2">
        <f>IF(G9&lt;&gt;"",-(1-UnosPodataka!$M$10)*FinaIndicators!G18,"")</f>
        <v>0</v>
      </c>
      <c r="H27" s="2">
        <f>IF(H9&lt;&gt;"",-(1-UnosPodataka!$M$10)*FinaIndicators!H18,"")</f>
        <v>0</v>
      </c>
      <c r="I27" s="2">
        <f>IF(I9&lt;&gt;"",-(1-UnosPodataka!$M$10)*FinaIndicators!I18,"")</f>
        <v>0</v>
      </c>
      <c r="J27" s="2">
        <f>IF(J9&lt;&gt;"",-(1-UnosPodataka!$M$10)*FinaIndicators!J18,"")</f>
        <v>0</v>
      </c>
      <c r="K27" s="2">
        <f>IF(K9&lt;&gt;"",-(1-UnosPodataka!$M$10)*FinaIndicators!K18,"")</f>
        <v>0</v>
      </c>
      <c r="L27" s="2">
        <f>IF(L9&lt;&gt;"",-(1-UnosPodataka!$M$10)*FinaIndicators!L18,"")</f>
        <v>0</v>
      </c>
      <c r="M27" s="2">
        <f>IF(M9&lt;&gt;"",-(1-UnosPodataka!$M$10)*FinaIndicators!M18,"")</f>
        <v>0</v>
      </c>
      <c r="N27" s="2">
        <f>IF(N9&lt;&gt;"",-(1-UnosPodataka!$M$10)*FinaIndicators!N18,"")</f>
        <v>0</v>
      </c>
      <c r="O27" s="2">
        <f>IF(O9&lt;&gt;"",-(1-UnosPodataka!$M$10)*FinaIndicators!O18,"")</f>
        <v>0</v>
      </c>
      <c r="P27" s="2">
        <f>IF(P9&lt;&gt;"",-(1-UnosPodataka!$M$10)*FinaIndicators!P18,"")</f>
        <v>0</v>
      </c>
      <c r="Q27" s="2">
        <f>IF(Q9&lt;&gt;"",-(1-UnosPodataka!$M$10)*FinaIndicators!Q18,"")</f>
        <v>0</v>
      </c>
      <c r="R27" s="2">
        <f>IF(R9&lt;&gt;"",-(1-UnosPodataka!$M$10)*FinaIndicators!R18,"")</f>
        <v>0</v>
      </c>
      <c r="S27" s="2">
        <f>IF(S9&lt;&gt;"",-(1-UnosPodataka!$M$10)*FinaIndicators!S18,"")</f>
        <v>0</v>
      </c>
      <c r="T27" s="2">
        <f>IF(T9&lt;&gt;"",-(1-UnosPodataka!$M$10)*FinaIndicators!T18,"")</f>
        <v>0</v>
      </c>
      <c r="U27" s="2">
        <f>IF(U9&lt;&gt;"",-(1-UnosPodataka!$M$10)*FinaIndicators!U18,"")</f>
        <v>0</v>
      </c>
      <c r="V27" s="2">
        <f>IF(V9&lt;&gt;"",-(1-UnosPodataka!$M$10)*FinaIndicators!V18,"")</f>
        <v>0</v>
      </c>
      <c r="W27" s="2">
        <f>IF(W9&lt;&gt;"",-(1-UnosPodataka!$M$10)*FinaIndicators!W18,"")</f>
        <v>0</v>
      </c>
      <c r="X27" s="2">
        <f>IF(X9&lt;&gt;"",-(1-UnosPodataka!$M$10)*FinaIndicators!X18,"")</f>
        <v>0</v>
      </c>
      <c r="Y27" s="2">
        <f>IF(Y9&lt;&gt;"",-(1-UnosPodataka!$M$10)*FinaIndicators!Y18,"")</f>
        <v>0</v>
      </c>
    </row>
    <row r="28" spans="1:25" x14ac:dyDescent="0.25">
      <c r="A28" s="79" t="s">
        <v>85</v>
      </c>
      <c r="B28" s="79"/>
      <c r="C28" s="79"/>
      <c r="D28" s="79"/>
      <c r="E28" s="32"/>
      <c r="F28" s="33">
        <f>IF(F9&lt;&gt;"",SUM(F21:F27),"")</f>
        <v>-15589.329780253625</v>
      </c>
      <c r="G28" s="33">
        <f t="shared" ref="G28:Y28" si="2">IF(G9&lt;&gt;"",SUM(G21:G27),"")</f>
        <v>-15589.329780253625</v>
      </c>
      <c r="H28" s="33">
        <f t="shared" si="2"/>
        <v>-15589.329780253625</v>
      </c>
      <c r="I28" s="33">
        <f t="shared" si="2"/>
        <v>-15589.329780253625</v>
      </c>
      <c r="J28" s="33">
        <f t="shared" si="2"/>
        <v>-6700</v>
      </c>
      <c r="K28" s="33">
        <f t="shared" si="2"/>
        <v>-6700</v>
      </c>
      <c r="L28" s="33">
        <f t="shared" si="2"/>
        <v>-6700</v>
      </c>
      <c r="M28" s="33">
        <f t="shared" si="2"/>
        <v>-6700</v>
      </c>
      <c r="N28" s="33">
        <f t="shared" si="2"/>
        <v>-6700</v>
      </c>
      <c r="O28" s="33">
        <f t="shared" si="2"/>
        <v>-6700</v>
      </c>
      <c r="P28" s="33">
        <f t="shared" si="2"/>
        <v>-6700</v>
      </c>
      <c r="Q28" s="33">
        <f t="shared" si="2"/>
        <v>-6700</v>
      </c>
      <c r="R28" s="33">
        <f t="shared" si="2"/>
        <v>-6700</v>
      </c>
      <c r="S28" s="33">
        <f t="shared" si="2"/>
        <v>-6700</v>
      </c>
      <c r="T28" s="33">
        <f t="shared" si="2"/>
        <v>-6700</v>
      </c>
      <c r="U28" s="33">
        <f t="shared" si="2"/>
        <v>-6700</v>
      </c>
      <c r="V28" s="33">
        <f t="shared" si="2"/>
        <v>-6700</v>
      </c>
      <c r="W28" s="33">
        <f t="shared" si="2"/>
        <v>-6700</v>
      </c>
      <c r="X28" s="33">
        <f t="shared" si="2"/>
        <v>-6700</v>
      </c>
      <c r="Y28" s="33">
        <f t="shared" si="2"/>
        <v>-6700</v>
      </c>
    </row>
    <row r="30" spans="1:25" x14ac:dyDescent="0.25">
      <c r="A30" t="s">
        <v>148</v>
      </c>
      <c r="E30" s="2">
        <f>-SUM(E11:E13)</f>
        <v>-44000</v>
      </c>
      <c r="F30" s="2">
        <f>+F28-F26-F33</f>
        <v>-11682.000744035086</v>
      </c>
      <c r="G30" s="2">
        <f t="shared" ref="G30:Y30" si="3">+G28-G26-G33</f>
        <v>-11783.688680079651</v>
      </c>
      <c r="H30" s="2">
        <f t="shared" si="3"/>
        <v>-11897.579168449565</v>
      </c>
      <c r="I30" s="2">
        <f t="shared" si="3"/>
        <v>-12025.136515423867</v>
      </c>
      <c r="J30" s="2">
        <f t="shared" si="3"/>
        <v>-3278.6709637814611</v>
      </c>
      <c r="K30" s="2">
        <f t="shared" si="3"/>
        <v>-3278.6709637814611</v>
      </c>
      <c r="L30" s="2">
        <f t="shared" si="3"/>
        <v>-3278.6709637814611</v>
      </c>
      <c r="M30" s="2">
        <f t="shared" si="3"/>
        <v>-3278.6709637814611</v>
      </c>
      <c r="N30" s="2">
        <f t="shared" si="3"/>
        <v>-3278.6709637814611</v>
      </c>
      <c r="O30" s="2">
        <f t="shared" si="3"/>
        <v>-3278.6709637814611</v>
      </c>
      <c r="P30" s="2">
        <f t="shared" si="3"/>
        <v>-3278.6709637814611</v>
      </c>
      <c r="Q30" s="2">
        <f t="shared" si="3"/>
        <v>-3278.6709637814611</v>
      </c>
      <c r="R30" s="2">
        <f t="shared" si="3"/>
        <v>-3278.6709637814611</v>
      </c>
      <c r="S30" s="2">
        <f t="shared" si="3"/>
        <v>-3278.6709637814611</v>
      </c>
      <c r="T30" s="2">
        <f t="shared" si="3"/>
        <v>-3278.6709637814611</v>
      </c>
      <c r="U30" s="2">
        <f t="shared" si="3"/>
        <v>-3278.6709637814611</v>
      </c>
      <c r="V30" s="2">
        <f t="shared" si="3"/>
        <v>-3278.6709637814611</v>
      </c>
      <c r="W30" s="2">
        <f t="shared" si="3"/>
        <v>-3278.6709637814611</v>
      </c>
      <c r="X30" s="2">
        <f t="shared" si="3"/>
        <v>-3278.6709637814611</v>
      </c>
      <c r="Y30" s="2">
        <f t="shared" si="3"/>
        <v>-3278.6709637814611</v>
      </c>
    </row>
    <row r="31" spans="1:25" x14ac:dyDescent="0.25">
      <c r="A31" s="67" t="s">
        <v>149</v>
      </c>
      <c r="B31" s="67"/>
      <c r="C31" s="67"/>
      <c r="D31" s="67"/>
      <c r="F31" s="2">
        <f>IF(F9&lt;&gt;"",F18+F28-F22,"")</f>
        <v>3284.4730918764071</v>
      </c>
      <c r="G31" s="2">
        <f t="shared" ref="G31:Y31" si="4">IF(G9&lt;&gt;"",G18+G28-G22,"")</f>
        <v>3962.3926655068426</v>
      </c>
      <c r="H31" s="2">
        <f t="shared" si="4"/>
        <v>4721.662587972929</v>
      </c>
      <c r="I31" s="2">
        <f t="shared" si="4"/>
        <v>5572.0449011349474</v>
      </c>
      <c r="J31" s="2">
        <f t="shared" si="4"/>
        <v>6524.4730918764071</v>
      </c>
      <c r="K31" s="2">
        <f t="shared" si="4"/>
        <v>6524.4730918764071</v>
      </c>
      <c r="L31" s="2">
        <f t="shared" si="4"/>
        <v>6524.4730918764071</v>
      </c>
      <c r="M31" s="2">
        <f t="shared" si="4"/>
        <v>6524.4730918764071</v>
      </c>
      <c r="N31" s="2">
        <f t="shared" si="4"/>
        <v>6524.4730918764071</v>
      </c>
      <c r="O31" s="2">
        <f t="shared" si="4"/>
        <v>6524.4730918764071</v>
      </c>
      <c r="P31" s="2">
        <f t="shared" si="4"/>
        <v>6524.4730918764071</v>
      </c>
      <c r="Q31" s="2">
        <f t="shared" si="4"/>
        <v>6524.4730918764071</v>
      </c>
      <c r="R31" s="2">
        <f t="shared" si="4"/>
        <v>6524.4730918764071</v>
      </c>
      <c r="S31" s="2">
        <f t="shared" si="4"/>
        <v>6524.4730918764071</v>
      </c>
      <c r="T31" s="2">
        <f t="shared" si="4"/>
        <v>6524.4730918764071</v>
      </c>
      <c r="U31" s="2">
        <f t="shared" si="4"/>
        <v>6524.4730918764071</v>
      </c>
      <c r="V31" s="2">
        <f t="shared" si="4"/>
        <v>6524.4730918764071</v>
      </c>
      <c r="W31" s="2">
        <f t="shared" si="4"/>
        <v>6524.4730918764071</v>
      </c>
      <c r="X31" s="2">
        <f t="shared" si="4"/>
        <v>6524.4730918764071</v>
      </c>
      <c r="Y31" s="2">
        <f t="shared" si="4"/>
        <v>6524.4730918764071</v>
      </c>
    </row>
    <row r="32" spans="1:25" x14ac:dyDescent="0.25">
      <c r="A32" s="76"/>
      <c r="B32" s="76"/>
      <c r="C32" s="76"/>
      <c r="D32" s="76"/>
    </row>
    <row r="33" spans="1:25" x14ac:dyDescent="0.25">
      <c r="A33" s="75" t="s">
        <v>86</v>
      </c>
      <c r="B33" s="75"/>
      <c r="C33" s="75"/>
      <c r="D33" s="75"/>
      <c r="F33" s="2">
        <f>IF(F9&lt;&gt;"",IF(F31&gt;0,F31*VAT,0),"")</f>
        <v>492.67096378146107</v>
      </c>
      <c r="G33" s="2">
        <f t="shared" ref="G33:Y33" si="5">IF(G9&lt;&gt;"",IF(G31&gt;0,G31*VAT,0),"")</f>
        <v>594.35889982602635</v>
      </c>
      <c r="H33" s="2">
        <f t="shared" si="5"/>
        <v>708.24938819593933</v>
      </c>
      <c r="I33" s="2">
        <f t="shared" si="5"/>
        <v>835.80673517024206</v>
      </c>
      <c r="J33" s="2">
        <f t="shared" si="5"/>
        <v>978.67096378146107</v>
      </c>
      <c r="K33" s="2">
        <f t="shared" si="5"/>
        <v>978.67096378146107</v>
      </c>
      <c r="L33" s="2">
        <f t="shared" si="5"/>
        <v>978.67096378146107</v>
      </c>
      <c r="M33" s="2">
        <f t="shared" si="5"/>
        <v>978.67096378146107</v>
      </c>
      <c r="N33" s="2">
        <f t="shared" si="5"/>
        <v>978.67096378146107</v>
      </c>
      <c r="O33" s="2">
        <f t="shared" si="5"/>
        <v>978.67096378146107</v>
      </c>
      <c r="P33" s="2">
        <f t="shared" si="5"/>
        <v>978.67096378146107</v>
      </c>
      <c r="Q33" s="2">
        <f t="shared" si="5"/>
        <v>978.67096378146107</v>
      </c>
      <c r="R33" s="2">
        <f t="shared" si="5"/>
        <v>978.67096378146107</v>
      </c>
      <c r="S33" s="2">
        <f t="shared" si="5"/>
        <v>978.67096378146107</v>
      </c>
      <c r="T33" s="2">
        <f t="shared" si="5"/>
        <v>978.67096378146107</v>
      </c>
      <c r="U33" s="2">
        <f t="shared" si="5"/>
        <v>978.67096378146107</v>
      </c>
      <c r="V33" s="2">
        <f t="shared" si="5"/>
        <v>978.67096378146107</v>
      </c>
      <c r="W33" s="2">
        <f t="shared" si="5"/>
        <v>978.67096378146107</v>
      </c>
      <c r="X33" s="2">
        <f t="shared" si="5"/>
        <v>978.67096378146107</v>
      </c>
      <c r="Y33" s="2">
        <f t="shared" si="5"/>
        <v>978.67096378146107</v>
      </c>
    </row>
    <row r="34" spans="1:25" x14ac:dyDescent="0.25">
      <c r="A34" s="67" t="s">
        <v>87</v>
      </c>
      <c r="B34" s="67"/>
      <c r="C34" s="67"/>
      <c r="D34" s="67"/>
      <c r="E34" s="2"/>
      <c r="F34" s="2">
        <f>IF(F9&lt;&gt;"",F31-F33,"")</f>
        <v>2791.8021280949461</v>
      </c>
      <c r="G34" s="2">
        <f t="shared" ref="G34:Y34" si="6">IF(G9&lt;&gt;"",G31-G33,"")</f>
        <v>3368.033765680816</v>
      </c>
      <c r="H34" s="2">
        <f t="shared" si="6"/>
        <v>4013.4131997769896</v>
      </c>
      <c r="I34" s="2">
        <f t="shared" si="6"/>
        <v>4736.2381659647053</v>
      </c>
      <c r="J34" s="2">
        <f t="shared" si="6"/>
        <v>5545.8021280949461</v>
      </c>
      <c r="K34" s="2">
        <f t="shared" si="6"/>
        <v>5545.8021280949461</v>
      </c>
      <c r="L34" s="2">
        <f t="shared" si="6"/>
        <v>5545.8021280949461</v>
      </c>
      <c r="M34" s="2">
        <f t="shared" si="6"/>
        <v>5545.8021280949461</v>
      </c>
      <c r="N34" s="2">
        <f t="shared" si="6"/>
        <v>5545.8021280949461</v>
      </c>
      <c r="O34" s="2">
        <f t="shared" si="6"/>
        <v>5545.8021280949461</v>
      </c>
      <c r="P34" s="2">
        <f t="shared" si="6"/>
        <v>5545.8021280949461</v>
      </c>
      <c r="Q34" s="2">
        <f t="shared" si="6"/>
        <v>5545.8021280949461</v>
      </c>
      <c r="R34" s="2">
        <f t="shared" si="6"/>
        <v>5545.8021280949461</v>
      </c>
      <c r="S34" s="2">
        <f t="shared" si="6"/>
        <v>5545.8021280949461</v>
      </c>
      <c r="T34" s="2">
        <f t="shared" si="6"/>
        <v>5545.8021280949461</v>
      </c>
      <c r="U34" s="2">
        <f t="shared" si="6"/>
        <v>5545.8021280949461</v>
      </c>
      <c r="V34" s="2">
        <f t="shared" si="6"/>
        <v>5545.8021280949461</v>
      </c>
      <c r="W34" s="2">
        <f t="shared" si="6"/>
        <v>5545.8021280949461</v>
      </c>
      <c r="X34" s="2">
        <f t="shared" si="6"/>
        <v>5545.8021280949461</v>
      </c>
      <c r="Y34" s="2">
        <f t="shared" si="6"/>
        <v>5545.8021280949461</v>
      </c>
    </row>
    <row r="36" spans="1:25" x14ac:dyDescent="0.25">
      <c r="A36" s="34" t="s">
        <v>150</v>
      </c>
      <c r="E36" s="2">
        <f>+E18+E30</f>
        <v>-44000</v>
      </c>
      <c r="F36" s="2">
        <f t="shared" ref="F36:Y36" si="7">+F18+F30</f>
        <v>1542.4723478413216</v>
      </c>
      <c r="G36" s="2">
        <f t="shared" si="7"/>
        <v>1440.7844117967561</v>
      </c>
      <c r="H36" s="2">
        <f t="shared" si="7"/>
        <v>1326.8939234268419</v>
      </c>
      <c r="I36" s="2">
        <f t="shared" si="7"/>
        <v>1199.3365764525406</v>
      </c>
      <c r="J36" s="2">
        <f t="shared" si="7"/>
        <v>9945.802128094947</v>
      </c>
      <c r="K36" s="2">
        <f t="shared" si="7"/>
        <v>9945.802128094947</v>
      </c>
      <c r="L36" s="2">
        <f t="shared" si="7"/>
        <v>9945.802128094947</v>
      </c>
      <c r="M36" s="2">
        <f t="shared" si="7"/>
        <v>9945.802128094947</v>
      </c>
      <c r="N36" s="2">
        <f t="shared" si="7"/>
        <v>9945.802128094947</v>
      </c>
      <c r="O36" s="2">
        <f t="shared" si="7"/>
        <v>9945.802128094947</v>
      </c>
      <c r="P36" s="2">
        <f t="shared" si="7"/>
        <v>9945.802128094947</v>
      </c>
      <c r="Q36" s="2">
        <f t="shared" si="7"/>
        <v>9945.802128094947</v>
      </c>
      <c r="R36" s="2">
        <f t="shared" si="7"/>
        <v>9945.802128094947</v>
      </c>
      <c r="S36" s="2">
        <f t="shared" si="7"/>
        <v>9945.802128094947</v>
      </c>
      <c r="T36" s="2">
        <f t="shared" si="7"/>
        <v>9945.802128094947</v>
      </c>
      <c r="U36" s="2">
        <f t="shared" si="7"/>
        <v>9945.802128094947</v>
      </c>
      <c r="V36" s="2">
        <f t="shared" si="7"/>
        <v>9945.802128094947</v>
      </c>
      <c r="W36" s="2">
        <f t="shared" si="7"/>
        <v>9945.802128094947</v>
      </c>
      <c r="X36" s="2">
        <f t="shared" si="7"/>
        <v>9945.802128094947</v>
      </c>
      <c r="Y36" s="2">
        <f t="shared" si="7"/>
        <v>9945.802128094947</v>
      </c>
    </row>
    <row r="37" spans="1:25" x14ac:dyDescent="0.25">
      <c r="A37" s="34" t="s">
        <v>151</v>
      </c>
      <c r="E37" s="2">
        <f>+E36</f>
        <v>-44000</v>
      </c>
      <c r="F37" s="2">
        <f>+E37+F36</f>
        <v>-42457.527652158678</v>
      </c>
      <c r="G37" s="2">
        <f t="shared" ref="G37:Y37" si="8">+F37+G36</f>
        <v>-41016.743240361924</v>
      </c>
      <c r="H37" s="2">
        <f t="shared" si="8"/>
        <v>-39689.849316935084</v>
      </c>
      <c r="I37" s="2">
        <f t="shared" si="8"/>
        <v>-38490.512740482547</v>
      </c>
      <c r="J37" s="2">
        <f t="shared" si="8"/>
        <v>-28544.7106123876</v>
      </c>
      <c r="K37" s="2">
        <f t="shared" si="8"/>
        <v>-18598.908484292653</v>
      </c>
      <c r="L37" s="2">
        <f t="shared" si="8"/>
        <v>-8653.1063561977062</v>
      </c>
      <c r="M37" s="2">
        <f t="shared" si="8"/>
        <v>1292.6957718972408</v>
      </c>
      <c r="N37" s="2">
        <f t="shared" si="8"/>
        <v>11238.497899992188</v>
      </c>
      <c r="O37" s="2">
        <f t="shared" si="8"/>
        <v>21184.300028087135</v>
      </c>
      <c r="P37" s="2">
        <f t="shared" si="8"/>
        <v>31130.102156182082</v>
      </c>
      <c r="Q37" s="2">
        <f t="shared" si="8"/>
        <v>41075.904284277029</v>
      </c>
      <c r="R37" s="2">
        <f t="shared" si="8"/>
        <v>51021.706412371976</v>
      </c>
      <c r="S37" s="2">
        <f t="shared" si="8"/>
        <v>60967.508540466923</v>
      </c>
      <c r="T37" s="2">
        <f t="shared" si="8"/>
        <v>70913.31066856187</v>
      </c>
      <c r="U37" s="2">
        <f t="shared" si="8"/>
        <v>80859.112796656816</v>
      </c>
      <c r="V37" s="2">
        <f t="shared" si="8"/>
        <v>90804.914924751763</v>
      </c>
      <c r="W37" s="2">
        <f t="shared" si="8"/>
        <v>100750.71705284671</v>
      </c>
      <c r="X37" s="2">
        <f t="shared" si="8"/>
        <v>110696.51918094166</v>
      </c>
      <c r="Y37" s="2">
        <f t="shared" si="8"/>
        <v>120642.3213090366</v>
      </c>
    </row>
    <row r="38" spans="1:25" x14ac:dyDescent="0.25">
      <c r="A38" s="15"/>
    </row>
    <row r="39" spans="1:25" x14ac:dyDescent="0.25">
      <c r="A39" s="34" t="s">
        <v>62</v>
      </c>
      <c r="E39" s="6">
        <f>+PomTab1!K25</f>
        <v>9.6161363636363642E-2</v>
      </c>
    </row>
    <row r="40" spans="1:25" x14ac:dyDescent="0.25">
      <c r="A40" s="34" t="s">
        <v>152</v>
      </c>
      <c r="E40" s="2">
        <f>IF(E9&lt;&gt;"",E36*(1+$E$39)^-E9,"")</f>
        <v>-44000</v>
      </c>
      <c r="F40" s="2">
        <f>IF(F9&lt;&gt;"",F36*(1+$E$39)^-F9,"")</f>
        <v>1407.1581055588231</v>
      </c>
      <c r="G40" s="2">
        <f t="shared" ref="G40:Y40" si="9">IF(G9&lt;&gt;"",G36*(1+$E$39)^-G9,"")</f>
        <v>1199.0851381105365</v>
      </c>
      <c r="H40" s="2">
        <f t="shared" si="9"/>
        <v>1007.42502296098</v>
      </c>
      <c r="I40" s="2">
        <f t="shared" si="9"/>
        <v>830.69790826678343</v>
      </c>
      <c r="J40" s="2">
        <f t="shared" si="9"/>
        <v>6284.4512618255576</v>
      </c>
      <c r="K40" s="2">
        <f t="shared" si="9"/>
        <v>5733.1442890650351</v>
      </c>
      <c r="L40" s="2">
        <f t="shared" si="9"/>
        <v>5230.2010262851472</v>
      </c>
      <c r="M40" s="2">
        <f t="shared" si="9"/>
        <v>4771.3787402017888</v>
      </c>
      <c r="N40" s="2">
        <f t="shared" si="9"/>
        <v>4352.8068936615309</v>
      </c>
      <c r="O40" s="2">
        <f t="shared" si="9"/>
        <v>3970.9544945296166</v>
      </c>
      <c r="P40" s="2">
        <f t="shared" si="9"/>
        <v>3622.6003089148521</v>
      </c>
      <c r="Q40" s="2">
        <f t="shared" si="9"/>
        <v>3304.8056874558843</v>
      </c>
      <c r="R40" s="2">
        <f t="shared" si="9"/>
        <v>3014.8897754365739</v>
      </c>
      <c r="S40" s="2">
        <f t="shared" si="9"/>
        <v>2750.4068976077519</v>
      </c>
      <c r="T40" s="2">
        <f t="shared" si="9"/>
        <v>2509.1259269380362</v>
      </c>
      <c r="U40" s="2">
        <f t="shared" si="9"/>
        <v>2289.0114632524155</v>
      </c>
      <c r="V40" s="2">
        <f t="shared" si="9"/>
        <v>2088.2066629852166</v>
      </c>
      <c r="W40" s="2">
        <f t="shared" si="9"/>
        <v>1905.0175752025048</v>
      </c>
      <c r="X40" s="2">
        <f t="shared" si="9"/>
        <v>1737.8988517556145</v>
      </c>
      <c r="Y40" s="2">
        <f t="shared" si="9"/>
        <v>1585.4407110193849</v>
      </c>
    </row>
    <row r="41" spans="1:25" x14ac:dyDescent="0.25">
      <c r="A41" s="34" t="s">
        <v>153</v>
      </c>
      <c r="E41" s="2">
        <f>+E40</f>
        <v>-44000</v>
      </c>
      <c r="F41" s="2">
        <f>+E41+F40</f>
        <v>-42592.841894441175</v>
      </c>
      <c r="G41" s="2">
        <f t="shared" ref="G41:Y41" si="10">+F41+G40</f>
        <v>-41393.756756330637</v>
      </c>
      <c r="H41" s="2">
        <f t="shared" si="10"/>
        <v>-40386.331733369654</v>
      </c>
      <c r="I41" s="2">
        <f t="shared" si="10"/>
        <v>-39555.633825102872</v>
      </c>
      <c r="J41" s="2">
        <f t="shared" si="10"/>
        <v>-33271.182563277311</v>
      </c>
      <c r="K41" s="2">
        <f t="shared" si="10"/>
        <v>-27538.038274212275</v>
      </c>
      <c r="L41" s="2">
        <f t="shared" si="10"/>
        <v>-22307.837247927127</v>
      </c>
      <c r="M41" s="2">
        <f t="shared" si="10"/>
        <v>-17536.45850772534</v>
      </c>
      <c r="N41" s="2">
        <f t="shared" si="10"/>
        <v>-13183.651614063809</v>
      </c>
      <c r="O41" s="2">
        <f t="shared" si="10"/>
        <v>-9212.6971195341921</v>
      </c>
      <c r="P41" s="2">
        <f t="shared" si="10"/>
        <v>-5590.0968106193395</v>
      </c>
      <c r="Q41" s="2">
        <f t="shared" si="10"/>
        <v>-2285.2911231634553</v>
      </c>
      <c r="R41" s="2">
        <f t="shared" si="10"/>
        <v>729.59865227311866</v>
      </c>
      <c r="S41" s="2">
        <f t="shared" si="10"/>
        <v>3480.0055498808706</v>
      </c>
      <c r="T41" s="2">
        <f t="shared" si="10"/>
        <v>5989.1314768189068</v>
      </c>
      <c r="U41" s="2">
        <f t="shared" si="10"/>
        <v>8278.1429400713223</v>
      </c>
      <c r="V41" s="2">
        <f t="shared" si="10"/>
        <v>10366.349603056538</v>
      </c>
      <c r="W41" s="2">
        <f t="shared" si="10"/>
        <v>12271.367178259043</v>
      </c>
      <c r="X41" s="2">
        <f t="shared" si="10"/>
        <v>14009.266030014656</v>
      </c>
      <c r="Y41" s="2">
        <f t="shared" si="10"/>
        <v>15594.706741034041</v>
      </c>
    </row>
    <row r="42" spans="1:25" x14ac:dyDescent="0.25">
      <c r="A42" s="34"/>
    </row>
    <row r="43" spans="1:25" x14ac:dyDescent="0.25">
      <c r="A43" s="35" t="s">
        <v>154</v>
      </c>
      <c r="B43" s="37"/>
      <c r="C43" s="37"/>
      <c r="D43" s="37"/>
      <c r="E43" s="38">
        <f>+NPV(E39,E36:Y36)</f>
        <v>14226.652442210472</v>
      </c>
      <c r="F43" s="37"/>
    </row>
    <row r="44" spans="1:25" x14ac:dyDescent="0.25">
      <c r="A44" s="35" t="s">
        <v>155</v>
      </c>
      <c r="B44" s="37"/>
      <c r="C44" s="37"/>
      <c r="D44" s="37"/>
      <c r="E44" s="39">
        <f>+IRR(E36:Y36,10)</f>
        <v>0.13118538721517226</v>
      </c>
      <c r="F44" s="37"/>
    </row>
    <row r="45" spans="1:25" x14ac:dyDescent="0.25">
      <c r="A45" s="35" t="s">
        <v>156</v>
      </c>
      <c r="B45" s="37"/>
      <c r="C45" s="37"/>
      <c r="D45" s="37"/>
      <c r="E45" s="38" cm="1">
        <f t="array" ref="E45">+NPV(E39,F18:Y18/-NPV(E39,E30:Y30))</f>
        <v>1.2670931146870044</v>
      </c>
      <c r="F45" s="37"/>
    </row>
    <row r="46" spans="1:25" x14ac:dyDescent="0.25">
      <c r="A46" s="35" t="s">
        <v>157</v>
      </c>
      <c r="B46" s="37"/>
      <c r="C46" s="37"/>
      <c r="D46" s="37"/>
      <c r="E46" s="37" cm="1">
        <f t="array" ref="E46">+LOOKUP(INDEX(E37:Y37,MATCH(TRUE,E37:Y37&gt;0,0)),E37:Y37,E9:Y9)</f>
        <v>8</v>
      </c>
      <c r="F46" s="37" t="s">
        <v>159</v>
      </c>
    </row>
    <row r="47" spans="1:25" x14ac:dyDescent="0.25">
      <c r="A47" s="35" t="s">
        <v>158</v>
      </c>
      <c r="B47" s="37"/>
      <c r="C47" s="37"/>
      <c r="D47" s="37"/>
      <c r="E47" s="37" cm="1">
        <f t="array" ref="E47">+LOOKUP(INDEX(E41:Y41,MATCH(TRUE,E41:Y41&gt;0,0)),E41:Y41,E9:Y9)</f>
        <v>13</v>
      </c>
      <c r="F47" s="37" t="s">
        <v>159</v>
      </c>
    </row>
    <row r="49" spans="1:26" x14ac:dyDescent="0.25">
      <c r="A49" s="75" t="s">
        <v>160</v>
      </c>
      <c r="B49" s="75"/>
      <c r="C49" s="75"/>
      <c r="D49" s="75"/>
      <c r="E49" s="2">
        <f>IF(E9&lt;&gt;"",E30,"")</f>
        <v>-44000</v>
      </c>
      <c r="F49" s="2">
        <f>IF(F9&lt;&gt;"",F30,"")</f>
        <v>-11682.000744035086</v>
      </c>
      <c r="G49" s="2">
        <f t="shared" ref="G49:Y49" si="11">IF(G9&lt;&gt;"",G30,"")</f>
        <v>-11783.688680079651</v>
      </c>
      <c r="H49" s="2">
        <f t="shared" si="11"/>
        <v>-11897.579168449565</v>
      </c>
      <c r="I49" s="2">
        <f t="shared" si="11"/>
        <v>-12025.136515423867</v>
      </c>
      <c r="J49" s="2">
        <f t="shared" si="11"/>
        <v>-3278.6709637814611</v>
      </c>
      <c r="K49" s="2">
        <f t="shared" si="11"/>
        <v>-3278.6709637814611</v>
      </c>
      <c r="L49" s="2">
        <f t="shared" si="11"/>
        <v>-3278.6709637814611</v>
      </c>
      <c r="M49" s="2">
        <f t="shared" si="11"/>
        <v>-3278.6709637814611</v>
      </c>
      <c r="N49" s="2">
        <f t="shared" si="11"/>
        <v>-3278.6709637814611</v>
      </c>
      <c r="O49" s="2">
        <f t="shared" si="11"/>
        <v>-3278.6709637814611</v>
      </c>
      <c r="P49" s="2">
        <f t="shared" si="11"/>
        <v>-3278.6709637814611</v>
      </c>
      <c r="Q49" s="2">
        <f t="shared" si="11"/>
        <v>-3278.6709637814611</v>
      </c>
      <c r="R49" s="2">
        <f t="shared" si="11"/>
        <v>-3278.6709637814611</v>
      </c>
      <c r="S49" s="2">
        <f t="shared" si="11"/>
        <v>-3278.6709637814611</v>
      </c>
      <c r="T49" s="2">
        <f t="shared" si="11"/>
        <v>-3278.6709637814611</v>
      </c>
      <c r="U49" s="2">
        <f t="shared" si="11"/>
        <v>-3278.6709637814611</v>
      </c>
      <c r="V49" s="2">
        <f t="shared" si="11"/>
        <v>-3278.6709637814611</v>
      </c>
      <c r="W49" s="2">
        <f t="shared" si="11"/>
        <v>-3278.6709637814611</v>
      </c>
      <c r="X49" s="2">
        <f t="shared" si="11"/>
        <v>-3278.6709637814611</v>
      </c>
      <c r="Y49" s="2">
        <f t="shared" si="11"/>
        <v>-3278.6709637814611</v>
      </c>
      <c r="Z49" s="2"/>
    </row>
    <row r="50" spans="1:26" x14ac:dyDescent="0.25">
      <c r="A50" s="75" t="s">
        <v>161</v>
      </c>
      <c r="B50" s="75"/>
      <c r="C50" s="75"/>
      <c r="D50" s="75"/>
      <c r="E50" s="2">
        <f>IF(E9&lt;&gt;"",E49*(1+$E$39)^-E9,"")</f>
        <v>-44000</v>
      </c>
      <c r="F50" s="2">
        <f>IF(F9&lt;&gt;"",F49*(1+$E$39)^-F9,"")</f>
        <v>-10657.190749071528</v>
      </c>
      <c r="G50" s="2">
        <f t="shared" ref="G50:Y50" si="12">IF(G9&lt;&gt;"",G49*(1+$E$39)^-G9,"")</f>
        <v>-9806.912021476026</v>
      </c>
      <c r="H50" s="2">
        <f t="shared" si="12"/>
        <v>-9033.0649310688641</v>
      </c>
      <c r="I50" s="2">
        <f t="shared" si="12"/>
        <v>-8328.9844953548036</v>
      </c>
      <c r="J50" s="2">
        <f t="shared" si="12"/>
        <v>-2071.6929223077059</v>
      </c>
      <c r="K50" s="2">
        <f t="shared" si="12"/>
        <v>-1889.9525115856591</v>
      </c>
      <c r="L50" s="2">
        <f t="shared" si="12"/>
        <v>-1724.1553792007439</v>
      </c>
      <c r="M50" s="2">
        <f t="shared" si="12"/>
        <v>-1572.9028922175264</v>
      </c>
      <c r="N50" s="2">
        <f t="shared" si="12"/>
        <v>-1434.9191135506169</v>
      </c>
      <c r="O50" s="2">
        <f t="shared" si="12"/>
        <v>-1309.0400384031702</v>
      </c>
      <c r="P50" s="2">
        <f t="shared" si="12"/>
        <v>-1194.2037749447866</v>
      </c>
      <c r="Q50" s="2">
        <f t="shared" si="12"/>
        <v>-1089.4415863948907</v>
      </c>
      <c r="R50" s="2">
        <f t="shared" si="12"/>
        <v>-993.86971894431599</v>
      </c>
      <c r="S50" s="2">
        <f t="shared" si="12"/>
        <v>-906.68194657699905</v>
      </c>
      <c r="T50" s="2">
        <f t="shared" si="12"/>
        <v>-827.14276990132862</v>
      </c>
      <c r="U50" s="2">
        <f t="shared" si="12"/>
        <v>-754.58121161778297</v>
      </c>
      <c r="V50" s="2">
        <f t="shared" si="12"/>
        <v>-688.3851562826153</v>
      </c>
      <c r="W50" s="2">
        <f t="shared" si="12"/>
        <v>-627.9961866189052</v>
      </c>
      <c r="X50" s="2">
        <f t="shared" si="12"/>
        <v>-572.90487281508877</v>
      </c>
      <c r="Y50" s="2">
        <f t="shared" si="12"/>
        <v>-522.64647507238919</v>
      </c>
      <c r="Z50" s="2"/>
    </row>
    <row r="51" spans="1:26" x14ac:dyDescent="0.25">
      <c r="A51" s="75" t="s">
        <v>162</v>
      </c>
      <c r="B51" s="75"/>
      <c r="C51" s="75"/>
      <c r="D51" s="75"/>
      <c r="E51" s="2">
        <f>+E50</f>
        <v>-44000</v>
      </c>
      <c r="F51" s="2">
        <f>+E51+F50</f>
        <v>-54657.190749071524</v>
      </c>
      <c r="G51" s="2">
        <f t="shared" ref="G51:Y51" si="13">IF(G9&lt;&gt;"",F51+G50,"")</f>
        <v>-64464.10277054755</v>
      </c>
      <c r="H51" s="2">
        <f t="shared" si="13"/>
        <v>-73497.167701616418</v>
      </c>
      <c r="I51" s="2">
        <f t="shared" si="13"/>
        <v>-81826.152196971219</v>
      </c>
      <c r="J51" s="2">
        <f t="shared" si="13"/>
        <v>-83897.845119278922</v>
      </c>
      <c r="K51" s="2">
        <f t="shared" si="13"/>
        <v>-85787.797630864574</v>
      </c>
      <c r="L51" s="2">
        <f t="shared" si="13"/>
        <v>-87511.953010065321</v>
      </c>
      <c r="M51" s="2">
        <f t="shared" si="13"/>
        <v>-89084.855902282841</v>
      </c>
      <c r="N51" s="2">
        <f t="shared" si="13"/>
        <v>-90519.775015833453</v>
      </c>
      <c r="O51" s="2">
        <f t="shared" si="13"/>
        <v>-91828.81505423662</v>
      </c>
      <c r="P51" s="2">
        <f t="shared" si="13"/>
        <v>-93023.018829181412</v>
      </c>
      <c r="Q51" s="2">
        <f t="shared" si="13"/>
        <v>-94112.460415576308</v>
      </c>
      <c r="R51" s="2">
        <f t="shared" si="13"/>
        <v>-95106.330134520627</v>
      </c>
      <c r="S51" s="2">
        <f t="shared" si="13"/>
        <v>-96013.012081097622</v>
      </c>
      <c r="T51" s="2">
        <f t="shared" si="13"/>
        <v>-96840.154850998952</v>
      </c>
      <c r="U51" s="2">
        <f t="shared" si="13"/>
        <v>-97594.736062616736</v>
      </c>
      <c r="V51" s="2">
        <f t="shared" si="13"/>
        <v>-98283.121218899352</v>
      </c>
      <c r="W51" s="2">
        <f t="shared" si="13"/>
        <v>-98911.117405518264</v>
      </c>
      <c r="X51" s="2">
        <f t="shared" si="13"/>
        <v>-99484.022278333359</v>
      </c>
      <c r="Y51" s="2">
        <f t="shared" si="13"/>
        <v>-100006.66875340574</v>
      </c>
    </row>
    <row r="52" spans="1:26" x14ac:dyDescent="0.25">
      <c r="A52" s="75" t="s">
        <v>163</v>
      </c>
      <c r="B52" s="75"/>
      <c r="C52" s="75"/>
      <c r="D52" s="75"/>
      <c r="F52" s="2">
        <f t="shared" ref="F52:Y52" si="14">IF(F9&lt;&gt;"",F18,"")</f>
        <v>13224.473091876407</v>
      </c>
      <c r="G52" s="2">
        <f t="shared" si="14"/>
        <v>13224.473091876407</v>
      </c>
      <c r="H52" s="2">
        <f t="shared" si="14"/>
        <v>13224.473091876407</v>
      </c>
      <c r="I52" s="2">
        <f t="shared" si="14"/>
        <v>13224.473091876407</v>
      </c>
      <c r="J52" s="2">
        <f t="shared" si="14"/>
        <v>13224.473091876407</v>
      </c>
      <c r="K52" s="2">
        <f t="shared" si="14"/>
        <v>13224.473091876407</v>
      </c>
      <c r="L52" s="2">
        <f t="shared" si="14"/>
        <v>13224.473091876407</v>
      </c>
      <c r="M52" s="2">
        <f t="shared" si="14"/>
        <v>13224.473091876407</v>
      </c>
      <c r="N52" s="2">
        <f t="shared" si="14"/>
        <v>13224.473091876407</v>
      </c>
      <c r="O52" s="2">
        <f t="shared" si="14"/>
        <v>13224.473091876407</v>
      </c>
      <c r="P52" s="2">
        <f t="shared" si="14"/>
        <v>13224.473091876407</v>
      </c>
      <c r="Q52" s="2">
        <f t="shared" si="14"/>
        <v>13224.473091876407</v>
      </c>
      <c r="R52" s="2">
        <f t="shared" si="14"/>
        <v>13224.473091876407</v>
      </c>
      <c r="S52" s="2">
        <f t="shared" si="14"/>
        <v>13224.473091876407</v>
      </c>
      <c r="T52" s="2">
        <f t="shared" si="14"/>
        <v>13224.473091876407</v>
      </c>
      <c r="U52" s="2">
        <f t="shared" si="14"/>
        <v>13224.473091876407</v>
      </c>
      <c r="V52" s="2">
        <f t="shared" si="14"/>
        <v>13224.473091876407</v>
      </c>
      <c r="W52" s="2">
        <f t="shared" si="14"/>
        <v>13224.473091876407</v>
      </c>
      <c r="X52" s="2">
        <f t="shared" si="14"/>
        <v>13224.473091876407</v>
      </c>
      <c r="Y52" s="2">
        <f t="shared" si="14"/>
        <v>13224.473091876407</v>
      </c>
    </row>
    <row r="53" spans="1:26" x14ac:dyDescent="0.25">
      <c r="A53" s="75" t="s">
        <v>164</v>
      </c>
      <c r="B53" s="75"/>
      <c r="C53" s="75"/>
      <c r="D53" s="75"/>
      <c r="F53" s="2">
        <f>IF(F9&lt;&gt;"",F52*(1+$E$39)^-F9,"")</f>
        <v>12064.348854630351</v>
      </c>
      <c r="G53" s="2">
        <f t="shared" ref="G53:X53" si="15">IF(G9&lt;&gt;"",G52*(1+$E$39)^-G9,"")</f>
        <v>11005.997159586563</v>
      </c>
      <c r="H53" s="2">
        <f t="shared" si="15"/>
        <v>10040.489954029845</v>
      </c>
      <c r="I53" s="2">
        <f t="shared" si="15"/>
        <v>9159.6824036215876</v>
      </c>
      <c r="J53" s="2">
        <f t="shared" si="15"/>
        <v>8356.1441841332635</v>
      </c>
      <c r="K53" s="2">
        <f t="shared" si="15"/>
        <v>7623.0968006506937</v>
      </c>
      <c r="L53" s="2">
        <f t="shared" si="15"/>
        <v>6954.3564054858907</v>
      </c>
      <c r="M53" s="2">
        <f t="shared" si="15"/>
        <v>6344.2816324193145</v>
      </c>
      <c r="N53" s="2">
        <f t="shared" si="15"/>
        <v>5787.726007212148</v>
      </c>
      <c r="O53" s="2">
        <f t="shared" si="15"/>
        <v>5279.9945329327866</v>
      </c>
      <c r="P53" s="2">
        <f t="shared" si="15"/>
        <v>4816.804083859638</v>
      </c>
      <c r="Q53" s="2">
        <f t="shared" si="15"/>
        <v>4394.2472738507749</v>
      </c>
      <c r="R53" s="2">
        <f t="shared" si="15"/>
        <v>4008.7594943808895</v>
      </c>
      <c r="S53" s="2">
        <f t="shared" si="15"/>
        <v>3657.0888441847505</v>
      </c>
      <c r="T53" s="2">
        <f t="shared" si="15"/>
        <v>3336.2686968393646</v>
      </c>
      <c r="U53" s="2">
        <f t="shared" si="15"/>
        <v>3043.5926748701986</v>
      </c>
      <c r="V53" s="2">
        <f t="shared" si="15"/>
        <v>2776.5918192678314</v>
      </c>
      <c r="W53" s="2">
        <f t="shared" si="15"/>
        <v>2533.0137618214098</v>
      </c>
      <c r="X53" s="2">
        <f t="shared" si="15"/>
        <v>2310.8037245707033</v>
      </c>
      <c r="Y53" s="2">
        <f>IF(Y9&lt;&gt;"",Y52*(1+$E$39)^-Y9,"")</f>
        <v>2108.0871860917741</v>
      </c>
    </row>
    <row r="54" spans="1:26" x14ac:dyDescent="0.25">
      <c r="A54" s="75" t="s">
        <v>165</v>
      </c>
      <c r="B54" s="75"/>
      <c r="C54" s="75"/>
      <c r="D54" s="75"/>
      <c r="F54" s="2">
        <f t="shared" ref="F54:Y54" si="16">IF(F9&lt;&gt;"",E54+F53,"")</f>
        <v>12064.348854630351</v>
      </c>
      <c r="G54" s="2">
        <f t="shared" si="16"/>
        <v>23070.346014216913</v>
      </c>
      <c r="H54" s="2">
        <f t="shared" si="16"/>
        <v>33110.835968246756</v>
      </c>
      <c r="I54" s="2">
        <f t="shared" si="16"/>
        <v>42270.51837186834</v>
      </c>
      <c r="J54" s="2">
        <f t="shared" si="16"/>
        <v>50626.662556001604</v>
      </c>
      <c r="K54" s="2">
        <f t="shared" si="16"/>
        <v>58249.759356652299</v>
      </c>
      <c r="L54" s="2">
        <f t="shared" si="16"/>
        <v>65204.115762138186</v>
      </c>
      <c r="M54" s="2">
        <f t="shared" si="16"/>
        <v>71548.397394557498</v>
      </c>
      <c r="N54" s="2">
        <f t="shared" si="16"/>
        <v>77336.123401769641</v>
      </c>
      <c r="O54" s="2">
        <f t="shared" si="16"/>
        <v>82616.11793470243</v>
      </c>
      <c r="P54" s="2">
        <f t="shared" si="16"/>
        <v>87432.922018562065</v>
      </c>
      <c r="Q54" s="2">
        <f t="shared" si="16"/>
        <v>91827.169292412844</v>
      </c>
      <c r="R54" s="2">
        <f t="shared" si="16"/>
        <v>95835.928786793738</v>
      </c>
      <c r="S54" s="2">
        <f t="shared" si="16"/>
        <v>99493.017630978487</v>
      </c>
      <c r="T54" s="2">
        <f t="shared" si="16"/>
        <v>102829.28632781786</v>
      </c>
      <c r="U54" s="2">
        <f t="shared" si="16"/>
        <v>105872.87900268806</v>
      </c>
      <c r="V54" s="2">
        <f t="shared" si="16"/>
        <v>108649.4708219559</v>
      </c>
      <c r="W54" s="2">
        <f t="shared" si="16"/>
        <v>111182.4845837773</v>
      </c>
      <c r="X54" s="2">
        <f t="shared" si="16"/>
        <v>113493.28830834801</v>
      </c>
      <c r="Y54" s="2">
        <f t="shared" si="16"/>
        <v>115601.37549443978</v>
      </c>
    </row>
    <row r="55" spans="1:26" x14ac:dyDescent="0.25">
      <c r="A55" s="75" t="s">
        <v>166</v>
      </c>
      <c r="B55" s="75"/>
      <c r="C55" s="75"/>
      <c r="D55" s="75"/>
      <c r="F55" s="2">
        <f t="shared" ref="F55:Y55" si="17">IF(F9&lt;&gt;"",F54+F51,"")</f>
        <v>-42592.841894441175</v>
      </c>
      <c r="G55" s="2">
        <f t="shared" si="17"/>
        <v>-41393.756756330637</v>
      </c>
      <c r="H55" s="2">
        <f t="shared" si="17"/>
        <v>-40386.331733369661</v>
      </c>
      <c r="I55" s="2">
        <f t="shared" si="17"/>
        <v>-39555.633825102879</v>
      </c>
      <c r="J55" s="2">
        <f t="shared" si="17"/>
        <v>-33271.182563277318</v>
      </c>
      <c r="K55" s="2">
        <f t="shared" si="17"/>
        <v>-27538.038274212275</v>
      </c>
      <c r="L55" s="2">
        <f t="shared" si="17"/>
        <v>-22307.837247927135</v>
      </c>
      <c r="M55" s="2">
        <f t="shared" si="17"/>
        <v>-17536.458507725343</v>
      </c>
      <c r="N55" s="2">
        <f t="shared" si="17"/>
        <v>-13183.651614063812</v>
      </c>
      <c r="O55" s="2">
        <f t="shared" si="17"/>
        <v>-9212.6971195341903</v>
      </c>
      <c r="P55" s="2">
        <f t="shared" si="17"/>
        <v>-5590.0968106193468</v>
      </c>
      <c r="Q55" s="2">
        <f t="shared" si="17"/>
        <v>-2285.2911231634644</v>
      </c>
      <c r="R55" s="2">
        <f t="shared" si="17"/>
        <v>729.59865227311093</v>
      </c>
      <c r="S55" s="2">
        <f t="shared" si="17"/>
        <v>3480.0055498808651</v>
      </c>
      <c r="T55" s="2">
        <f t="shared" si="17"/>
        <v>5989.131476818904</v>
      </c>
      <c r="U55" s="2">
        <f t="shared" si="17"/>
        <v>8278.1429400713241</v>
      </c>
      <c r="V55" s="2">
        <f t="shared" si="17"/>
        <v>10366.349603056544</v>
      </c>
      <c r="W55" s="2">
        <f t="shared" si="17"/>
        <v>12271.367178259039</v>
      </c>
      <c r="X55" s="2">
        <f t="shared" si="17"/>
        <v>14009.266030014653</v>
      </c>
      <c r="Y55" s="2">
        <f t="shared" si="17"/>
        <v>15594.706741034039</v>
      </c>
    </row>
    <row r="56" spans="1:26" x14ac:dyDescent="0.25">
      <c r="A56" s="40" t="s">
        <v>167</v>
      </c>
      <c r="B56" s="40"/>
      <c r="C56" s="40"/>
      <c r="D56" s="40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8" spans="1:26" x14ac:dyDescent="0.25">
      <c r="A58" s="75" t="s">
        <v>88</v>
      </c>
      <c r="B58" s="75"/>
      <c r="C58" s="75"/>
      <c r="D58" s="75"/>
      <c r="E58" s="2">
        <f>E11</f>
        <v>27000</v>
      </c>
      <c r="F58" s="2">
        <f t="shared" ref="F58:Y58" si="18">IF(F9="",E58,-F51)</f>
        <v>54657.190749071524</v>
      </c>
      <c r="G58" s="2">
        <f t="shared" si="18"/>
        <v>64464.10277054755</v>
      </c>
      <c r="H58" s="2">
        <f t="shared" si="18"/>
        <v>73497.167701616418</v>
      </c>
      <c r="I58" s="2">
        <f t="shared" si="18"/>
        <v>81826.152196971219</v>
      </c>
      <c r="J58" s="2">
        <f t="shared" si="18"/>
        <v>83897.845119278922</v>
      </c>
      <c r="K58" s="2">
        <f t="shared" si="18"/>
        <v>85787.797630864574</v>
      </c>
      <c r="L58" s="2">
        <f t="shared" si="18"/>
        <v>87511.953010065321</v>
      </c>
      <c r="M58" s="2">
        <f t="shared" si="18"/>
        <v>89084.855902282841</v>
      </c>
      <c r="N58" s="2">
        <f t="shared" si="18"/>
        <v>90519.775015833453</v>
      </c>
      <c r="O58" s="2">
        <f t="shared" si="18"/>
        <v>91828.81505423662</v>
      </c>
      <c r="P58" s="2">
        <f t="shared" si="18"/>
        <v>93023.018829181412</v>
      </c>
      <c r="Q58" s="2">
        <f t="shared" si="18"/>
        <v>94112.460415576308</v>
      </c>
      <c r="R58" s="2">
        <f t="shared" si="18"/>
        <v>95106.330134520627</v>
      </c>
      <c r="S58" s="2">
        <f t="shared" si="18"/>
        <v>96013.012081097622</v>
      </c>
      <c r="T58" s="2">
        <f t="shared" si="18"/>
        <v>96840.154850998952</v>
      </c>
      <c r="U58" s="2">
        <f t="shared" si="18"/>
        <v>97594.736062616736</v>
      </c>
      <c r="V58" s="2">
        <f t="shared" si="18"/>
        <v>98283.121218899352</v>
      </c>
      <c r="W58" s="2">
        <f t="shared" si="18"/>
        <v>98911.117405518264</v>
      </c>
      <c r="X58" s="2">
        <f t="shared" si="18"/>
        <v>99484.022278333359</v>
      </c>
      <c r="Y58" s="2">
        <f t="shared" si="18"/>
        <v>100006.66875340574</v>
      </c>
    </row>
    <row r="59" spans="1:26" x14ac:dyDescent="0.25">
      <c r="A59" s="75" t="s">
        <v>89</v>
      </c>
      <c r="B59" s="75"/>
      <c r="C59" s="75"/>
      <c r="D59" s="75"/>
      <c r="F59" s="2">
        <f t="shared" ref="F59:Y59" si="19">IF(F9="",E59,F54)</f>
        <v>12064.348854630351</v>
      </c>
      <c r="G59" s="2">
        <f t="shared" si="19"/>
        <v>23070.346014216913</v>
      </c>
      <c r="H59" s="2">
        <f t="shared" si="19"/>
        <v>33110.835968246756</v>
      </c>
      <c r="I59" s="2">
        <f t="shared" si="19"/>
        <v>42270.51837186834</v>
      </c>
      <c r="J59" s="2">
        <f t="shared" si="19"/>
        <v>50626.662556001604</v>
      </c>
      <c r="K59" s="2">
        <f t="shared" si="19"/>
        <v>58249.759356652299</v>
      </c>
      <c r="L59" s="2">
        <f t="shared" si="19"/>
        <v>65204.115762138186</v>
      </c>
      <c r="M59" s="2">
        <f t="shared" si="19"/>
        <v>71548.397394557498</v>
      </c>
      <c r="N59" s="2">
        <f t="shared" si="19"/>
        <v>77336.123401769641</v>
      </c>
      <c r="O59" s="2">
        <f t="shared" si="19"/>
        <v>82616.11793470243</v>
      </c>
      <c r="P59" s="2">
        <f t="shared" si="19"/>
        <v>87432.922018562065</v>
      </c>
      <c r="Q59" s="2">
        <f t="shared" si="19"/>
        <v>91827.169292412844</v>
      </c>
      <c r="R59" s="2">
        <f t="shared" si="19"/>
        <v>95835.928786793738</v>
      </c>
      <c r="S59" s="2">
        <f t="shared" si="19"/>
        <v>99493.017630978487</v>
      </c>
      <c r="T59" s="2">
        <f t="shared" si="19"/>
        <v>102829.28632781786</v>
      </c>
      <c r="U59" s="2">
        <f t="shared" si="19"/>
        <v>105872.87900268806</v>
      </c>
      <c r="V59" s="2">
        <f t="shared" si="19"/>
        <v>108649.4708219559</v>
      </c>
      <c r="W59" s="2">
        <f t="shared" si="19"/>
        <v>111182.4845837773</v>
      </c>
      <c r="X59" s="2">
        <f t="shared" si="19"/>
        <v>113493.28830834801</v>
      </c>
      <c r="Y59" s="2">
        <f t="shared" si="19"/>
        <v>115601.37549443978</v>
      </c>
    </row>
  </sheetData>
  <sheetProtection selectLockedCells="1"/>
  <mergeCells count="35">
    <mergeCell ref="A55:D55"/>
    <mergeCell ref="A58:D58"/>
    <mergeCell ref="A59:D59"/>
    <mergeCell ref="A54:D54"/>
    <mergeCell ref="A31:D31"/>
    <mergeCell ref="A32:D32"/>
    <mergeCell ref="A33:D33"/>
    <mergeCell ref="A34:D34"/>
    <mergeCell ref="A49:D49"/>
    <mergeCell ref="A50:D50"/>
    <mergeCell ref="A51:D51"/>
    <mergeCell ref="A52:D52"/>
    <mergeCell ref="A53:D53"/>
    <mergeCell ref="A28:D28"/>
    <mergeCell ref="A13:D13"/>
    <mergeCell ref="A17:D17"/>
    <mergeCell ref="A19:D19"/>
    <mergeCell ref="A14:D14"/>
    <mergeCell ref="A18:D18"/>
    <mergeCell ref="A23:D23"/>
    <mergeCell ref="A27:D27"/>
    <mergeCell ref="A16:D16"/>
    <mergeCell ref="A20:D20"/>
    <mergeCell ref="A26:D26"/>
    <mergeCell ref="A22:D22"/>
    <mergeCell ref="A11:D11"/>
    <mergeCell ref="A12:D12"/>
    <mergeCell ref="A21:D21"/>
    <mergeCell ref="A24:D24"/>
    <mergeCell ref="A25:D25"/>
    <mergeCell ref="F3:I3"/>
    <mergeCell ref="I7:J7"/>
    <mergeCell ref="N7:O7"/>
    <mergeCell ref="A7:D7"/>
    <mergeCell ref="A9:D9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60"/>
  <sheetViews>
    <sheetView showZeros="0" zoomScale="80" zoomScaleNormal="80" workbookViewId="0">
      <selection activeCell="F18" sqref="F18"/>
    </sheetView>
  </sheetViews>
  <sheetFormatPr defaultRowHeight="15" x14ac:dyDescent="0.25"/>
  <cols>
    <col min="4" max="4" width="14.5703125" customWidth="1"/>
    <col min="5" max="5" width="12.7109375" customWidth="1"/>
    <col min="6" max="6" width="11.85546875" customWidth="1"/>
    <col min="7" max="7" width="11.28515625" customWidth="1"/>
    <col min="8" max="8" width="12.42578125" customWidth="1"/>
    <col min="9" max="9" width="12.570312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9" width="12" customWidth="1"/>
    <col min="20" max="20" width="11.28515625" customWidth="1"/>
    <col min="21" max="21" width="12.28515625" customWidth="1"/>
    <col min="22" max="22" width="11.7109375" customWidth="1"/>
    <col min="23" max="23" width="11.42578125" customWidth="1"/>
    <col min="24" max="24" width="12.7109375" customWidth="1"/>
    <col min="25" max="25" width="11.7109375" customWidth="1"/>
  </cols>
  <sheetData>
    <row r="2" spans="1:25" ht="16.5" x14ac:dyDescent="0.35">
      <c r="F2" s="64" t="s">
        <v>177</v>
      </c>
      <c r="G2" s="64"/>
      <c r="H2" s="64"/>
      <c r="I2" s="64"/>
    </row>
    <row r="7" spans="1:25" ht="21" x14ac:dyDescent="0.35">
      <c r="A7" s="80" t="s">
        <v>178</v>
      </c>
      <c r="B7" s="80"/>
      <c r="C7" s="80"/>
      <c r="D7" s="80"/>
      <c r="I7" s="68" t="s">
        <v>120</v>
      </c>
      <c r="J7" s="68"/>
      <c r="N7" s="69" t="s">
        <v>121</v>
      </c>
      <c r="O7" s="69"/>
    </row>
    <row r="9" spans="1:25" x14ac:dyDescent="0.25">
      <c r="A9" s="67" t="s">
        <v>61</v>
      </c>
      <c r="B9" s="67"/>
      <c r="C9" s="67"/>
      <c r="D9" s="67"/>
      <c r="E9" s="13">
        <v>0</v>
      </c>
      <c r="F9" s="13">
        <v>1</v>
      </c>
      <c r="G9" s="13">
        <f>IF(F9&lt;UnosPodataka!$M$24,'FinInd+CO2'!F9+1,"")</f>
        <v>2</v>
      </c>
      <c r="H9" s="13">
        <f>IF(G9&lt;UnosPodataka!$M$24,'FinInd+CO2'!G9+1,"")</f>
        <v>3</v>
      </c>
      <c r="I9" s="13">
        <f>IF(H9&lt;UnosPodataka!$M$24,'FinInd+CO2'!H9+1,"")</f>
        <v>4</v>
      </c>
      <c r="J9" s="13">
        <f>IF(I9&lt;UnosPodataka!$M$24,'FinInd+CO2'!I9+1,"")</f>
        <v>5</v>
      </c>
      <c r="K9" s="13">
        <f>IF(J9&lt;UnosPodataka!$M$24,'FinInd+CO2'!J9+1,"")</f>
        <v>6</v>
      </c>
      <c r="L9" s="13">
        <f>IF(K9&lt;UnosPodataka!$M$24,'FinInd+CO2'!K9+1,"")</f>
        <v>7</v>
      </c>
      <c r="M9" s="13">
        <f>IF(L9&lt;UnosPodataka!$M$24,'FinInd+CO2'!L9+1,"")</f>
        <v>8</v>
      </c>
      <c r="N9" s="13">
        <f>IF(M9&lt;UnosPodataka!$M$24,'FinInd+CO2'!M9+1,"")</f>
        <v>9</v>
      </c>
      <c r="O9" s="13">
        <f>IF(N9&lt;UnosPodataka!$M$24,'FinInd+CO2'!N9+1,"")</f>
        <v>10</v>
      </c>
      <c r="P9" s="13">
        <f>IF(O9&lt;UnosPodataka!$M$24,'FinInd+CO2'!O9+1,"")</f>
        <v>11</v>
      </c>
      <c r="Q9" s="13">
        <f>IF(P9&lt;UnosPodataka!$M$24,'FinInd+CO2'!P9+1,"")</f>
        <v>12</v>
      </c>
      <c r="R9" s="13">
        <f>IF(Q9&lt;UnosPodataka!$M$24,'FinInd+CO2'!Q9+1,"")</f>
        <v>13</v>
      </c>
      <c r="S9" s="13">
        <f>IF(R9&lt;UnosPodataka!$M$24,'FinInd+CO2'!R9+1,"")</f>
        <v>14</v>
      </c>
      <c r="T9" s="13">
        <f>IF(S9&lt;UnosPodataka!$M$24,'FinInd+CO2'!S9+1,"")</f>
        <v>15</v>
      </c>
      <c r="U9" s="13">
        <f>IF(T9&lt;UnosPodataka!$M$24,'FinInd+CO2'!T9+1,"")</f>
        <v>16</v>
      </c>
      <c r="V9" s="13">
        <f>IF(U9&lt;UnosPodataka!$M$24,'FinInd+CO2'!U9+1,"")</f>
        <v>17</v>
      </c>
      <c r="W9" s="13">
        <f>IF(V9&lt;UnosPodataka!$M$24,'FinInd+CO2'!V9+1,"")</f>
        <v>18</v>
      </c>
      <c r="X9" s="13">
        <f>IF(W9&lt;UnosPodataka!$M$24,'FinInd+CO2'!W9+1,"")</f>
        <v>19</v>
      </c>
      <c r="Y9" s="13">
        <f>IF(X9&lt;UnosPodataka!$M$24,'FinInd+CO2'!X9+1,"")</f>
        <v>20</v>
      </c>
    </row>
    <row r="11" spans="1:25" x14ac:dyDescent="0.25">
      <c r="A11" s="75" t="s">
        <v>78</v>
      </c>
      <c r="B11" s="75"/>
      <c r="C11" s="75"/>
      <c r="D11" s="75"/>
      <c r="E11" s="2">
        <f>LOAN</f>
        <v>27000</v>
      </c>
    </row>
    <row r="12" spans="1:25" x14ac:dyDescent="0.25">
      <c r="A12" s="75" t="s">
        <v>79</v>
      </c>
      <c r="B12" s="75"/>
      <c r="C12" s="75"/>
      <c r="D12" s="75"/>
      <c r="E12" s="2">
        <f>IF(Equity=0,LOAN,Equity)</f>
        <v>17000</v>
      </c>
    </row>
    <row r="13" spans="1:25" x14ac:dyDescent="0.25">
      <c r="A13" s="75" t="s">
        <v>142</v>
      </c>
      <c r="B13" s="75"/>
      <c r="C13" s="75"/>
      <c r="D13" s="75"/>
    </row>
    <row r="14" spans="1:25" x14ac:dyDescent="0.25">
      <c r="A14" s="75" t="s">
        <v>90</v>
      </c>
      <c r="B14" s="75"/>
      <c r="C14" s="75"/>
      <c r="D14" s="75"/>
      <c r="F14" s="2">
        <f>IF(F9&lt;&gt;"",Ustede!$F$14,"")</f>
        <v>128.4</v>
      </c>
      <c r="G14" s="2">
        <f>IF(G9&lt;&gt;"",Ustede!$F$14,"")</f>
        <v>128.4</v>
      </c>
      <c r="H14" s="2">
        <f>IF(H9&lt;&gt;"",Ustede!$F$14,"")</f>
        <v>128.4</v>
      </c>
      <c r="I14" s="2">
        <f>IF(I9&lt;&gt;"",Ustede!$F$14,"")</f>
        <v>128.4</v>
      </c>
      <c r="J14" s="2">
        <f>IF(J9&lt;&gt;"",Ustede!$F$14,"")</f>
        <v>128.4</v>
      </c>
      <c r="K14" s="2">
        <f>IF(K9&lt;&gt;"",Ustede!$F$14,"")</f>
        <v>128.4</v>
      </c>
      <c r="L14" s="2">
        <f>IF(L9&lt;&gt;"",Ustede!$F$14,"")</f>
        <v>128.4</v>
      </c>
      <c r="M14" s="2">
        <f>IF(M9&lt;&gt;"",Ustede!$F$14,"")</f>
        <v>128.4</v>
      </c>
      <c r="N14" s="2">
        <f>IF(N9&lt;&gt;"",Ustede!$F$14,"")</f>
        <v>128.4</v>
      </c>
      <c r="O14" s="2">
        <f>IF(O9&lt;&gt;"",Ustede!$F$14,"")</f>
        <v>128.4</v>
      </c>
      <c r="P14" s="2">
        <f>IF(P9&lt;&gt;"",Ustede!$F$14,"")</f>
        <v>128.4</v>
      </c>
      <c r="Q14" s="2">
        <f>IF(Q9&lt;&gt;"",Ustede!$F$14,"")</f>
        <v>128.4</v>
      </c>
      <c r="R14" s="2">
        <f>IF(R9&lt;&gt;"",Ustede!$F$14,"")</f>
        <v>128.4</v>
      </c>
      <c r="S14" s="2">
        <f>IF(S9&lt;&gt;"",Ustede!$F$14,"")</f>
        <v>128.4</v>
      </c>
      <c r="T14" s="2">
        <f>IF(T9&lt;&gt;"",Ustede!$F$14,"")</f>
        <v>128.4</v>
      </c>
      <c r="U14" s="2">
        <f>IF(U9&lt;&gt;"",Ustede!$F$14,"")</f>
        <v>128.4</v>
      </c>
      <c r="V14" s="2">
        <f>IF(V9&lt;&gt;"",Ustede!$F$14,"")</f>
        <v>128.4</v>
      </c>
      <c r="W14" s="2">
        <f>IF(W9&lt;&gt;"",Ustede!$F$14,"")</f>
        <v>128.4</v>
      </c>
      <c r="X14" s="2">
        <f>IF(X9&lt;&gt;"",Ustede!$F$14,"")</f>
        <v>128.4</v>
      </c>
      <c r="Y14" s="2">
        <f>IF(Y9&lt;&gt;"",Ustede!$F$14,"")</f>
        <v>128.4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7" t="s">
        <v>143</v>
      </c>
      <c r="B16" s="67"/>
      <c r="C16" s="67"/>
      <c r="D16" s="6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75" t="s">
        <v>80</v>
      </c>
      <c r="B17" s="75"/>
      <c r="C17" s="75"/>
      <c r="D17" s="75"/>
      <c r="F17" s="2">
        <f>IF(F9&lt;&gt;"",Ustede!$F$15,"")</f>
        <v>13224.473091876407</v>
      </c>
      <c r="G17" s="2">
        <f>IF(G9&lt;&gt;"",Ustede!$F$15,"")</f>
        <v>13224.473091876407</v>
      </c>
      <c r="H17" s="2">
        <f>IF(H9&lt;&gt;"",Ustede!$F$15,"")</f>
        <v>13224.473091876407</v>
      </c>
      <c r="I17" s="2">
        <f>IF(I9&lt;&gt;"",Ustede!$F$15,"")</f>
        <v>13224.473091876407</v>
      </c>
      <c r="J17" s="2">
        <f>IF(J9&lt;&gt;"",Ustede!$F$15,"")</f>
        <v>13224.473091876407</v>
      </c>
      <c r="K17" s="2">
        <f>IF(K9&lt;&gt;"",Ustede!$F$15,"")</f>
        <v>13224.473091876407</v>
      </c>
      <c r="L17" s="2">
        <f>IF(L9&lt;&gt;"",Ustede!$F$15,"")</f>
        <v>13224.473091876407</v>
      </c>
      <c r="M17" s="2">
        <f>IF(M9&lt;&gt;"",Ustede!$F$15,"")</f>
        <v>13224.473091876407</v>
      </c>
      <c r="N17" s="2">
        <f>IF(N9&lt;&gt;"",Ustede!$F$15,"")</f>
        <v>13224.473091876407</v>
      </c>
      <c r="O17" s="2">
        <f>IF(O9&lt;&gt;"",Ustede!$F$15,"")</f>
        <v>13224.473091876407</v>
      </c>
      <c r="P17" s="2">
        <f>IF(P9&lt;&gt;"",Ustede!$F$15,"")</f>
        <v>13224.473091876407</v>
      </c>
      <c r="Q17" s="2">
        <f>IF(Q9&lt;&gt;"",Ustede!$F$15,"")</f>
        <v>13224.473091876407</v>
      </c>
      <c r="R17" s="2">
        <f>IF(R9&lt;&gt;"",Ustede!$F$15,"")</f>
        <v>13224.473091876407</v>
      </c>
      <c r="S17" s="2">
        <f>IF(S9&lt;&gt;"",Ustede!$F$15,"")</f>
        <v>13224.473091876407</v>
      </c>
      <c r="T17" s="2">
        <f>IF(T9&lt;&gt;"",Ustede!$F$15,"")</f>
        <v>13224.473091876407</v>
      </c>
      <c r="U17" s="2">
        <f>IF(U9&lt;&gt;"",Ustede!$F$15,"")</f>
        <v>13224.473091876407</v>
      </c>
      <c r="V17" s="2">
        <f>IF(V9&lt;&gt;"",Ustede!$F$15,"")</f>
        <v>13224.473091876407</v>
      </c>
      <c r="W17" s="2">
        <f>IF(W9&lt;&gt;"",Ustede!$F$15,"")</f>
        <v>13224.473091876407</v>
      </c>
      <c r="X17" s="2">
        <f>IF(X9&lt;&gt;"",Ustede!$F$15,"")</f>
        <v>13224.473091876407</v>
      </c>
      <c r="Y17" s="2">
        <f>IF(Y9&lt;&gt;"",Ustede!$F$15,"")</f>
        <v>13224.473091876407</v>
      </c>
    </row>
    <row r="18" spans="1:25" ht="18" x14ac:dyDescent="0.35">
      <c r="A18" s="75" t="s">
        <v>91</v>
      </c>
      <c r="B18" s="75"/>
      <c r="C18" s="75"/>
      <c r="D18" s="75"/>
      <c r="F18" s="2">
        <f>IF(F9&lt;&gt;"",F14*Ustede!$F$16*CARBON,"")</f>
        <v>61.305350400000002</v>
      </c>
      <c r="G18" s="2">
        <f>IF(G9&lt;&gt;"",G14*Ustede!$F$16*CARBON,"")</f>
        <v>61.305350400000002</v>
      </c>
      <c r="H18" s="2">
        <f>IF(H9&lt;&gt;"",H14*Ustede!$F$16*CARBON,"")</f>
        <v>61.305350400000002</v>
      </c>
      <c r="I18" s="2">
        <f>IF(I9&lt;&gt;"",I14*Ustede!$F$16*CARBON,"")</f>
        <v>61.305350400000002</v>
      </c>
      <c r="J18" s="2">
        <f>IF(J9&lt;&gt;"",J14*Ustede!$F$16*CARBON,"")</f>
        <v>61.305350400000002</v>
      </c>
      <c r="K18" s="2">
        <f>IF(K9&lt;&gt;"",K14*Ustede!$F$16*CARBON,"")</f>
        <v>61.305350400000002</v>
      </c>
      <c r="L18" s="2">
        <f>IF(L9&lt;&gt;"",L14*Ustede!$F$16*CARBON,"")</f>
        <v>61.305350400000002</v>
      </c>
      <c r="M18" s="2">
        <f>IF(M9&lt;&gt;"",M14*Ustede!$F$16*CARBON,"")</f>
        <v>61.305350400000002</v>
      </c>
      <c r="N18" s="2">
        <f>IF(N9&lt;&gt;"",N14*Ustede!$F$16*CARBON,"")</f>
        <v>61.305350400000002</v>
      </c>
      <c r="O18" s="2">
        <f>IF(O9&lt;&gt;"",O14*Ustede!$F$16*CARBON,"")</f>
        <v>61.305350400000002</v>
      </c>
      <c r="P18" s="2">
        <f>IF(P9&lt;&gt;"",P14*Ustede!$F$16*CARBON,"")</f>
        <v>61.305350400000002</v>
      </c>
      <c r="Q18" s="2">
        <f>IF(Q9&lt;&gt;"",Q14*Ustede!$F$16*CARBON,"")</f>
        <v>61.305350400000002</v>
      </c>
      <c r="R18" s="2">
        <f>IF(R9&lt;&gt;"",R14*Ustede!$F$16*CARBON,"")</f>
        <v>61.305350400000002</v>
      </c>
      <c r="S18" s="2">
        <f>IF(S9&lt;&gt;"",S14*Ustede!$F$16*CARBON,"")</f>
        <v>61.305350400000002</v>
      </c>
      <c r="T18" s="2">
        <f>IF(T9&lt;&gt;"",T14*Ustede!$F$16*CARBON,"")</f>
        <v>61.305350400000002</v>
      </c>
      <c r="U18" s="2">
        <f>IF(U9&lt;&gt;"",U14*Ustede!$F$16*CARBON,"")</f>
        <v>61.305350400000002</v>
      </c>
      <c r="V18" s="2">
        <f>IF(V9&lt;&gt;"",V14*Ustede!$F$16*CARBON,"")</f>
        <v>61.305350400000002</v>
      </c>
      <c r="W18" s="2">
        <f>IF(W9&lt;&gt;"",W14*Ustede!$F$16*CARBON,"")</f>
        <v>61.305350400000002</v>
      </c>
      <c r="X18" s="2">
        <f>IF(X9&lt;&gt;"",X14*Ustede!$F$16*CARBON,"")</f>
        <v>61.305350400000002</v>
      </c>
      <c r="Y18" s="2">
        <f>IF(Y9&lt;&gt;"",Y14*Ustede!$F$16*CARBON,"")</f>
        <v>61.305350400000002</v>
      </c>
    </row>
    <row r="19" spans="1:25" x14ac:dyDescent="0.25">
      <c r="A19" s="79" t="s">
        <v>92</v>
      </c>
      <c r="B19" s="79"/>
      <c r="C19" s="79"/>
      <c r="D19" s="79"/>
      <c r="E19" s="32"/>
      <c r="F19" s="33">
        <f t="shared" ref="F19:Y19" si="0">IF(F9&lt;&gt;"",F17+F18,"")</f>
        <v>13285.778442276407</v>
      </c>
      <c r="G19" s="33">
        <f t="shared" si="0"/>
        <v>13285.778442276407</v>
      </c>
      <c r="H19" s="33">
        <f t="shared" si="0"/>
        <v>13285.778442276407</v>
      </c>
      <c r="I19" s="33">
        <f t="shared" si="0"/>
        <v>13285.778442276407</v>
      </c>
      <c r="J19" s="33">
        <f t="shared" si="0"/>
        <v>13285.778442276407</v>
      </c>
      <c r="K19" s="33">
        <f t="shared" si="0"/>
        <v>13285.778442276407</v>
      </c>
      <c r="L19" s="33">
        <f t="shared" si="0"/>
        <v>13285.778442276407</v>
      </c>
      <c r="M19" s="33">
        <f t="shared" si="0"/>
        <v>13285.778442276407</v>
      </c>
      <c r="N19" s="33">
        <f t="shared" si="0"/>
        <v>13285.778442276407</v>
      </c>
      <c r="O19" s="33">
        <f t="shared" si="0"/>
        <v>13285.778442276407</v>
      </c>
      <c r="P19" s="33">
        <f t="shared" si="0"/>
        <v>13285.778442276407</v>
      </c>
      <c r="Q19" s="33">
        <f t="shared" si="0"/>
        <v>13285.778442276407</v>
      </c>
      <c r="R19" s="33">
        <f t="shared" si="0"/>
        <v>13285.778442276407</v>
      </c>
      <c r="S19" s="33">
        <f t="shared" si="0"/>
        <v>13285.778442276407</v>
      </c>
      <c r="T19" s="33">
        <f t="shared" si="0"/>
        <v>13285.778442276407</v>
      </c>
      <c r="U19" s="33">
        <f t="shared" si="0"/>
        <v>13285.778442276407</v>
      </c>
      <c r="V19" s="33">
        <f t="shared" si="0"/>
        <v>13285.778442276407</v>
      </c>
      <c r="W19" s="33">
        <f t="shared" si="0"/>
        <v>13285.778442276407</v>
      </c>
      <c r="X19" s="33">
        <f t="shared" si="0"/>
        <v>13285.778442276407</v>
      </c>
      <c r="Y19" s="33">
        <f t="shared" si="0"/>
        <v>13285.778442276407</v>
      </c>
    </row>
    <row r="20" spans="1:25" x14ac:dyDescent="0.25">
      <c r="A20" s="76"/>
      <c r="B20" s="76"/>
      <c r="C20" s="76"/>
      <c r="D20" s="76"/>
    </row>
    <row r="21" spans="1:25" x14ac:dyDescent="0.25">
      <c r="A21" s="67" t="s">
        <v>144</v>
      </c>
      <c r="B21" s="67"/>
      <c r="C21" s="67"/>
      <c r="D21" s="67"/>
    </row>
    <row r="22" spans="1:25" x14ac:dyDescent="0.25">
      <c r="A22" s="75" t="s">
        <v>145</v>
      </c>
      <c r="B22" s="75"/>
      <c r="C22" s="75"/>
      <c r="D22" s="75"/>
      <c r="F22" s="2">
        <f>IF(F9&gt;UnosPodataka!$M$21,"",-VLOOKUP(F9,Anuiteti!$B$13:$E$32,3,FALSE))</f>
        <v>-3240</v>
      </c>
      <c r="G22" s="2">
        <f>IF(G9&gt;UnosPodataka!$M$21,"",-VLOOKUP(G9,Anuiteti!$B$13:$E$32,3,FALSE))</f>
        <v>-2562.080426369565</v>
      </c>
      <c r="H22" s="2">
        <f>IF(H9&gt;UnosPodataka!$M$21,"",-VLOOKUP(H9,Anuiteti!$B$13:$E$32,3,FALSE))</f>
        <v>-1802.8105039034776</v>
      </c>
      <c r="I22" s="2">
        <f>IF(I9&gt;UnosPodataka!$M$21,"",-VLOOKUP(I9,Anuiteti!$B$13:$E$32,3,FALSE))</f>
        <v>-952.42819074145996</v>
      </c>
      <c r="J22" s="2" t="str">
        <f>IF(J9&gt;UnosPodataka!$M$21,"",-VLOOKUP(J9,Anuiteti!$B$13:$E$32,3,FALSE))</f>
        <v/>
      </c>
      <c r="K22" s="2" t="str">
        <f>IF(K9&gt;UnosPodataka!$M$21,"",-VLOOKUP(K9,Anuiteti!$B$13:$E$32,3,FALSE))</f>
        <v/>
      </c>
      <c r="L22" s="2" t="str">
        <f>IF(L9&gt;UnosPodataka!$M$21,"",-VLOOKUP(L9,Anuiteti!$B$13:$E$32,3,FALSE))</f>
        <v/>
      </c>
      <c r="M22" s="2" t="str">
        <f>IF(M9&gt;UnosPodataka!$M$21,"",-VLOOKUP(M9,Anuiteti!$B$13:$E$32,3,FALSE))</f>
        <v/>
      </c>
      <c r="N22" s="2" t="str">
        <f>IF(N9&gt;UnosPodataka!$M$21,"",-VLOOKUP(N9,Anuiteti!$B$13:$E$32,3,FALSE))</f>
        <v/>
      </c>
      <c r="O22" s="2" t="str">
        <f>IF(O9&gt;UnosPodataka!$M$21,"",-VLOOKUP(O9,Anuiteti!$B$13:$E$32,3,FALSE))</f>
        <v/>
      </c>
      <c r="P22" s="2" t="str">
        <f>IF(P9&gt;UnosPodataka!$M$21,"",-VLOOKUP(P9,Anuiteti!$B$13:$E$32,3,FALSE))</f>
        <v/>
      </c>
      <c r="Q22" s="2" t="str">
        <f>IF(Q9&gt;UnosPodataka!$M$21,"",-VLOOKUP(Q9,Anuiteti!$B$13:$E$32,3,FALSE))</f>
        <v/>
      </c>
      <c r="R22" s="2" t="str">
        <f>IF(R9&gt;UnosPodataka!$M$21,"",-VLOOKUP(R9,Anuiteti!$B$13:$E$32,3,FALSE))</f>
        <v/>
      </c>
      <c r="S22" s="2" t="str">
        <f>IF(S9&gt;UnosPodataka!$M$21,"",-VLOOKUP(S9,Anuiteti!$B$13:$E$32,3,FALSE))</f>
        <v/>
      </c>
      <c r="T22" s="2" t="str">
        <f>IF(T9&gt;UnosPodataka!$M$21,"",-VLOOKUP(T9,Anuiteti!$B$13:$E$32,3,FALSE))</f>
        <v/>
      </c>
      <c r="U22" s="2" t="str">
        <f>IF(U9&gt;UnosPodataka!$M$21,"",-VLOOKUP(U9,Anuiteti!$B$13:$E$32,3,FALSE))</f>
        <v/>
      </c>
      <c r="V22" s="2" t="str">
        <f>IF(V9&gt;UnosPodataka!$M$21,"",-VLOOKUP(V9,Anuiteti!$B$13:$E$32,3,FALSE))</f>
        <v/>
      </c>
      <c r="W22" s="2" t="str">
        <f>IF(W9&gt;UnosPodataka!$M$21,"",-VLOOKUP(W9,Anuiteti!$B$13:$E$32,3,FALSE))</f>
        <v/>
      </c>
      <c r="X22" s="2" t="str">
        <f>IF(X9&gt;UnosPodataka!$M$21,"",-VLOOKUP(X9,Anuiteti!$B$13:$E$32,3,FALSE))</f>
        <v/>
      </c>
      <c r="Y22" s="2" t="str">
        <f>IF(Y9&gt;UnosPodataka!$M$21,"",-VLOOKUP(Y9,Anuiteti!$B$13:$E$32,3,FALSE))</f>
        <v/>
      </c>
    </row>
    <row r="23" spans="1:25" x14ac:dyDescent="0.25">
      <c r="A23" s="22" t="s">
        <v>146</v>
      </c>
      <c r="B23" s="22"/>
      <c r="C23" s="22"/>
      <c r="D23" s="22"/>
      <c r="F23" s="2">
        <f>IF(F22="",0,IF(F9&gt;UnosPodataka!$M$21,"",VLOOKUP(F9,Anuiteti!$B$13:$E$32,4,FALSE)+VLOOKUP(F9,Anuiteti!$B$13:$E$32,3,FALSE)))</f>
        <v>-5649.3297802536254</v>
      </c>
      <c r="G23" s="2">
        <f>IF(G22="",0,IF(G9&gt;UnosPodataka!$M$21,"",VLOOKUP(G9,Anuiteti!$B$13:$E$32,4,FALSE)+VLOOKUP(G9,Anuiteti!$B$13:$E$32,3,FALSE)))</f>
        <v>-6327.2493538840608</v>
      </c>
      <c r="H23" s="2">
        <f>IF(H22="",0,IF(H9&gt;UnosPodataka!$M$21,"",VLOOKUP(H9,Anuiteti!$B$13:$E$32,4,FALSE)+VLOOKUP(H9,Anuiteti!$B$13:$E$32,3,FALSE)))</f>
        <v>-7086.5192763501473</v>
      </c>
      <c r="I23" s="2">
        <f>IF(I22="",0,IF(I9&gt;UnosPodataka!$M$21,"",VLOOKUP(I9,Anuiteti!$B$13:$E$32,4,FALSE)+VLOOKUP(I9,Anuiteti!$B$13:$E$32,3,FALSE)))</f>
        <v>-7936.9015895121656</v>
      </c>
      <c r="J23" s="2">
        <f>IF(J22="",0,IF(J9&gt;UnosPodataka!$M$21,"",VLOOKUP(J9,Anuiteti!$B$13:$E$32,4,FALSE)+VLOOKUP(J9,Anuiteti!$B$13:$E$32,3,FALSE)))</f>
        <v>0</v>
      </c>
      <c r="K23" s="2">
        <f>IF(K22="",0,IF(K9&gt;UnosPodataka!$M$21,"",VLOOKUP(K9,Anuiteti!$B$13:$E$32,4,FALSE)+VLOOKUP(K9,Anuiteti!$B$13:$E$32,3,FALSE)))</f>
        <v>0</v>
      </c>
      <c r="L23" s="2">
        <f>IF(L22="",0,IF(L9&gt;UnosPodataka!$M$21,"",VLOOKUP(L9,Anuiteti!$B$13:$E$32,4,FALSE)+VLOOKUP(L9,Anuiteti!$B$13:$E$32,3,FALSE)))</f>
        <v>0</v>
      </c>
      <c r="M23" s="2">
        <f>IF(M22="",0,IF(M9&gt;UnosPodataka!$M$21,"",VLOOKUP(M9,Anuiteti!$B$13:$E$32,4,FALSE)+VLOOKUP(M9,Anuiteti!$B$13:$E$32,3,FALSE)))</f>
        <v>0</v>
      </c>
      <c r="N23" s="2">
        <f>IF(N22="",0,IF(N9&gt;UnosPodataka!$M$21,"",VLOOKUP(N9,Anuiteti!$B$13:$E$32,4,FALSE)+VLOOKUP(N9,Anuiteti!$B$13:$E$32,3,FALSE)))</f>
        <v>0</v>
      </c>
      <c r="O23" s="2">
        <f>IF(O22="",0,IF(O9&gt;UnosPodataka!$M$21,"",VLOOKUP(O9,Anuiteti!$B$13:$E$32,4,FALSE)+VLOOKUP(O9,Anuiteti!$B$13:$E$32,3,FALSE)))</f>
        <v>0</v>
      </c>
      <c r="P23" s="2">
        <f>IF(P22="",0,IF(P9&gt;UnosPodataka!$M$21,"",VLOOKUP(P9,Anuiteti!$B$13:$E$32,4,FALSE)+VLOOKUP(P9,Anuiteti!$B$13:$E$32,3,FALSE)))</f>
        <v>0</v>
      </c>
      <c r="Q23" s="2">
        <f>IF(Q22="",0,IF(Q9&gt;UnosPodataka!$M$21,"",VLOOKUP(Q9,Anuiteti!$B$13:$E$32,4,FALSE)+VLOOKUP(Q9,Anuiteti!$B$13:$E$32,3,FALSE)))</f>
        <v>0</v>
      </c>
      <c r="R23" s="2">
        <f>IF(R22="",0,IF(R9&gt;UnosPodataka!$M$21,"",VLOOKUP(R9,Anuiteti!$B$13:$E$32,4,FALSE)+VLOOKUP(R9,Anuiteti!$B$13:$E$32,3,FALSE)))</f>
        <v>0</v>
      </c>
      <c r="S23" s="2">
        <f>IF(S22="",0,IF(S9&gt;UnosPodataka!$M$21,"",VLOOKUP(S9,Anuiteti!$B$13:$E$32,4,FALSE)+VLOOKUP(S9,Anuiteti!$B$13:$E$32,3,FALSE)))</f>
        <v>0</v>
      </c>
      <c r="T23" s="2">
        <f>IF(T22="",0,IF(T9&gt;UnosPodataka!$M$21,"",VLOOKUP(T9,Anuiteti!$B$13:$E$32,4,FALSE)+VLOOKUP(T9,Anuiteti!$B$13:$E$32,3,FALSE)))</f>
        <v>0</v>
      </c>
      <c r="U23" s="2">
        <f>IF(U22="",0,IF(U9&gt;UnosPodataka!$M$21,"",VLOOKUP(U9,Anuiteti!$B$13:$E$32,4,FALSE)+VLOOKUP(U9,Anuiteti!$B$13:$E$32,3,FALSE)))</f>
        <v>0</v>
      </c>
      <c r="V23" s="2">
        <f>IF(V22="",0,IF(V9&gt;UnosPodataka!$M$21,"",VLOOKUP(V9,Anuiteti!$B$13:$E$32,4,FALSE)+VLOOKUP(V9,Anuiteti!$B$13:$E$32,3,FALSE)))</f>
        <v>0</v>
      </c>
      <c r="W23" s="2">
        <f>IF(W22="",0,IF(W9&gt;UnosPodataka!$M$21,"",VLOOKUP(W9,Anuiteti!$B$13:$E$32,4,FALSE)+VLOOKUP(W9,Anuiteti!$B$13:$E$32,3,FALSE)))</f>
        <v>0</v>
      </c>
      <c r="X23" s="2">
        <f>IF(X22="",0,IF(X9&gt;UnosPodataka!$M$21,"",VLOOKUP(X9,Anuiteti!$B$13:$E$32,4,FALSE)+VLOOKUP(X9,Anuiteti!$B$13:$E$32,3,FALSE)))</f>
        <v>0</v>
      </c>
      <c r="Y23" s="2">
        <f>IF(Y22="",0,IF(Y9&gt;UnosPodataka!$M$21,"",VLOOKUP(Y9,Anuiteti!$B$13:$E$32,4,FALSE)+VLOOKUP(Y9,Anuiteti!$B$13:$E$32,3,FALSE)))</f>
        <v>0</v>
      </c>
    </row>
    <row r="24" spans="1:25" x14ac:dyDescent="0.25">
      <c r="A24" s="75" t="s">
        <v>82</v>
      </c>
      <c r="B24" s="75"/>
      <c r="C24" s="75"/>
      <c r="D24" s="75"/>
      <c r="F24" s="2">
        <f>IF(F9&lt;&gt;"",-UnosPodataka!$M$9,"")</f>
        <v>-100</v>
      </c>
      <c r="G24" s="2">
        <f>IF(G9&lt;&gt;"",-UnosPodataka!$M$9,"")</f>
        <v>-100</v>
      </c>
      <c r="H24" s="2">
        <f>IF(H9&lt;&gt;"",-UnosPodataka!$M$9,"")</f>
        <v>-100</v>
      </c>
      <c r="I24" s="2">
        <f>IF(I9&lt;&gt;"",-UnosPodataka!$M$9,"")</f>
        <v>-100</v>
      </c>
      <c r="J24" s="2">
        <f>IF(J9&lt;&gt;"",-UnosPodataka!$M$9,"")</f>
        <v>-100</v>
      </c>
      <c r="K24" s="2">
        <f>IF(K9&lt;&gt;"",-UnosPodataka!$M$9,"")</f>
        <v>-100</v>
      </c>
      <c r="L24" s="2">
        <f>IF(L9&lt;&gt;"",-UnosPodataka!$M$9,"")</f>
        <v>-100</v>
      </c>
      <c r="M24" s="2">
        <f>IF(M9&lt;&gt;"",-UnosPodataka!$M$9,"")</f>
        <v>-100</v>
      </c>
      <c r="N24" s="2">
        <f>IF(N9&lt;&gt;"",-UnosPodataka!$M$9,"")</f>
        <v>-100</v>
      </c>
      <c r="O24" s="2">
        <f>IF(O9&lt;&gt;"",-UnosPodataka!$M$9,"")</f>
        <v>-100</v>
      </c>
      <c r="P24" s="2">
        <f>IF(P9&lt;&gt;"",-UnosPodataka!$M$9,"")</f>
        <v>-100</v>
      </c>
      <c r="Q24" s="2">
        <f>IF(Q9&lt;&gt;"",-UnosPodataka!$M$9,"")</f>
        <v>-100</v>
      </c>
      <c r="R24" s="2">
        <f>IF(R9&lt;&gt;"",-UnosPodataka!$M$9,"")</f>
        <v>-100</v>
      </c>
      <c r="S24" s="2">
        <f>IF(S9&lt;&gt;"",-UnosPodataka!$M$9,"")</f>
        <v>-100</v>
      </c>
      <c r="T24" s="2">
        <f>IF(T9&lt;&gt;"",-UnosPodataka!$M$9,"")</f>
        <v>-100</v>
      </c>
      <c r="U24" s="2">
        <f>IF(U9&lt;&gt;"",-UnosPodataka!$M$9,"")</f>
        <v>-100</v>
      </c>
      <c r="V24" s="2">
        <f>IF(V9&lt;&gt;"",-UnosPodataka!$M$9,"")</f>
        <v>-100</v>
      </c>
      <c r="W24" s="2">
        <f>IF(W9&lt;&gt;"",-UnosPodataka!$M$9,"")</f>
        <v>-100</v>
      </c>
      <c r="X24" s="2">
        <f>IF(X9&lt;&gt;"",-UnosPodataka!$M$9,"")</f>
        <v>-100</v>
      </c>
      <c r="Y24" s="2">
        <f>IF(Y9&lt;&gt;"",-UnosPodataka!$M$9,"")</f>
        <v>-100</v>
      </c>
    </row>
    <row r="25" spans="1:25" x14ac:dyDescent="0.25">
      <c r="A25" s="75" t="s">
        <v>83</v>
      </c>
      <c r="B25" s="75"/>
      <c r="C25" s="75"/>
      <c r="D25" s="75"/>
      <c r="F25" s="2">
        <f>IF(F9&lt;&gt;"",-Investment*UnosPodataka!$M$11,"")</f>
        <v>-2200</v>
      </c>
      <c r="G25" s="2">
        <f>IF(G9&lt;&gt;"",-Investment*UnosPodataka!$M$11,"")</f>
        <v>-2200</v>
      </c>
      <c r="H25" s="2">
        <f>IF(H9&lt;&gt;"",-Investment*UnosPodataka!$M$11,"")</f>
        <v>-2200</v>
      </c>
      <c r="I25" s="2">
        <f>IF(I9&lt;&gt;"",-Investment*UnosPodataka!$M$11,"")</f>
        <v>-2200</v>
      </c>
      <c r="J25" s="2">
        <f>IF(J9&lt;&gt;"",-Investment*UnosPodataka!$M$11,"")</f>
        <v>-2200</v>
      </c>
      <c r="K25" s="2">
        <f>IF(K9&lt;&gt;"",-Investment*UnosPodataka!$M$11,"")</f>
        <v>-2200</v>
      </c>
      <c r="L25" s="2">
        <f>IF(L9&lt;&gt;"",-Investment*UnosPodataka!$M$11,"")</f>
        <v>-2200</v>
      </c>
      <c r="M25" s="2">
        <f>IF(M9&lt;&gt;"",-Investment*UnosPodataka!$M$11,"")</f>
        <v>-2200</v>
      </c>
      <c r="N25" s="2">
        <f>IF(N9&lt;&gt;"",-Investment*UnosPodataka!$M$11,"")</f>
        <v>-2200</v>
      </c>
      <c r="O25" s="2">
        <f>IF(O9&lt;&gt;"",-Investment*UnosPodataka!$M$11,"")</f>
        <v>-2200</v>
      </c>
      <c r="P25" s="2">
        <f>IF(P9&lt;&gt;"",-Investment*UnosPodataka!$M$11,"")</f>
        <v>-2200</v>
      </c>
      <c r="Q25" s="2">
        <f>IF(Q9&lt;&gt;"",-Investment*UnosPodataka!$M$11,"")</f>
        <v>-2200</v>
      </c>
      <c r="R25" s="2">
        <f>IF(R9&lt;&gt;"",-Investment*UnosPodataka!$M$11,"")</f>
        <v>-2200</v>
      </c>
      <c r="S25" s="2">
        <f>IF(S9&lt;&gt;"",-Investment*UnosPodataka!$M$11,"")</f>
        <v>-2200</v>
      </c>
      <c r="T25" s="2">
        <f>IF(T9&lt;&gt;"",-Investment*UnosPodataka!$M$11,"")</f>
        <v>-2200</v>
      </c>
      <c r="U25" s="2">
        <f>IF(U9&lt;&gt;"",-Investment*UnosPodataka!$M$11,"")</f>
        <v>-2200</v>
      </c>
      <c r="V25" s="2">
        <f>IF(V9&lt;&gt;"",-Investment*UnosPodataka!$M$11,"")</f>
        <v>-2200</v>
      </c>
      <c r="W25" s="2">
        <f>IF(W9&lt;&gt;"",-Investment*UnosPodataka!$M$11,"")</f>
        <v>-2200</v>
      </c>
      <c r="X25" s="2">
        <f>IF(X9&lt;&gt;"",-Investment*UnosPodataka!$M$11,"")</f>
        <v>-2200</v>
      </c>
      <c r="Y25" s="2">
        <f>IF(Y9&lt;&gt;"",-Investment*UnosPodataka!$M$11,"")</f>
        <v>-2200</v>
      </c>
    </row>
    <row r="26" spans="1:25" x14ac:dyDescent="0.25">
      <c r="A26" s="75" t="s">
        <v>93</v>
      </c>
      <c r="B26" s="75"/>
      <c r="C26" s="75"/>
      <c r="D26" s="75"/>
      <c r="F26" s="2">
        <f t="shared" ref="F26:Y26" si="1">-IF(F9&lt;&gt;"",0,0)</f>
        <v>0</v>
      </c>
      <c r="G26" s="2">
        <f t="shared" si="1"/>
        <v>0</v>
      </c>
      <c r="H26" s="2">
        <f t="shared" si="1"/>
        <v>0</v>
      </c>
      <c r="I26" s="2">
        <f t="shared" si="1"/>
        <v>0</v>
      </c>
      <c r="J26" s="2">
        <f t="shared" si="1"/>
        <v>0</v>
      </c>
      <c r="K26" s="2">
        <f t="shared" si="1"/>
        <v>0</v>
      </c>
      <c r="L26" s="2">
        <f t="shared" si="1"/>
        <v>0</v>
      </c>
      <c r="M26" s="2">
        <f t="shared" si="1"/>
        <v>0</v>
      </c>
      <c r="N26" s="2">
        <f t="shared" si="1"/>
        <v>0</v>
      </c>
      <c r="O26" s="2">
        <f t="shared" si="1"/>
        <v>0</v>
      </c>
      <c r="P26" s="2">
        <f t="shared" si="1"/>
        <v>0</v>
      </c>
      <c r="Q26" s="2">
        <f t="shared" si="1"/>
        <v>0</v>
      </c>
      <c r="R26" s="2">
        <f t="shared" si="1"/>
        <v>0</v>
      </c>
      <c r="S26" s="2">
        <f t="shared" si="1"/>
        <v>0</v>
      </c>
      <c r="T26" s="2">
        <f t="shared" si="1"/>
        <v>0</v>
      </c>
      <c r="U26" s="2">
        <f t="shared" si="1"/>
        <v>0</v>
      </c>
      <c r="V26" s="2">
        <f t="shared" si="1"/>
        <v>0</v>
      </c>
      <c r="W26" s="2">
        <f t="shared" si="1"/>
        <v>0</v>
      </c>
      <c r="X26" s="2">
        <f t="shared" si="1"/>
        <v>0</v>
      </c>
      <c r="Y26" s="2">
        <f t="shared" si="1"/>
        <v>0</v>
      </c>
    </row>
    <row r="27" spans="1:25" x14ac:dyDescent="0.25">
      <c r="A27" s="75" t="s">
        <v>147</v>
      </c>
      <c r="B27" s="75"/>
      <c r="C27" s="75"/>
      <c r="D27" s="75"/>
      <c r="F27" s="2">
        <f>IF(F9&lt;&gt;"",-Investment*UnosPodataka!$M$12,"")</f>
        <v>-4400</v>
      </c>
      <c r="G27" s="2">
        <f>IF(G9&lt;&gt;"",-Investment*UnosPodataka!$M$12,"")</f>
        <v>-4400</v>
      </c>
      <c r="H27" s="2">
        <f>IF(H9&lt;&gt;"",-Investment*UnosPodataka!$M$12,"")</f>
        <v>-4400</v>
      </c>
      <c r="I27" s="2">
        <f>IF(I9&lt;&gt;"",-Investment*UnosPodataka!$M$12,"")</f>
        <v>-4400</v>
      </c>
      <c r="J27" s="2">
        <f>IF(J9&lt;&gt;"",-Investment*UnosPodataka!$M$12,"")</f>
        <v>-4400</v>
      </c>
      <c r="K27" s="2">
        <f>IF(K9&lt;&gt;"",-Investment*UnosPodataka!$M$12,"")</f>
        <v>-4400</v>
      </c>
      <c r="L27" s="2">
        <f>IF(L9&lt;&gt;"",-Investment*UnosPodataka!$M$12,"")</f>
        <v>-4400</v>
      </c>
      <c r="M27" s="2">
        <f>IF(M9&lt;&gt;"",-Investment*UnosPodataka!$M$12,"")</f>
        <v>-4400</v>
      </c>
      <c r="N27" s="2">
        <f>IF(N9&lt;&gt;"",-Investment*UnosPodataka!$M$12,"")</f>
        <v>-4400</v>
      </c>
      <c r="O27" s="2">
        <f>IF(O9&lt;&gt;"",-Investment*UnosPodataka!$M$12,"")</f>
        <v>-4400</v>
      </c>
      <c r="P27" s="2">
        <f>IF(P9&lt;&gt;"",-Investment*UnosPodataka!$M$12,"")</f>
        <v>-4400</v>
      </c>
      <c r="Q27" s="2">
        <f>IF(Q9&lt;&gt;"",-Investment*UnosPodataka!$M$12,"")</f>
        <v>-4400</v>
      </c>
      <c r="R27" s="2">
        <f>IF(R9&lt;&gt;"",-Investment*UnosPodataka!$M$12,"")</f>
        <v>-4400</v>
      </c>
      <c r="S27" s="2">
        <f>IF(S9&lt;&gt;"",-Investment*UnosPodataka!$M$12,"")</f>
        <v>-4400</v>
      </c>
      <c r="T27" s="2">
        <f>IF(T9&lt;&gt;"",-Investment*UnosPodataka!$M$12,"")</f>
        <v>-4400</v>
      </c>
      <c r="U27" s="2">
        <f>IF(U9&lt;&gt;"",-Investment*UnosPodataka!$M$12,"")</f>
        <v>-4400</v>
      </c>
      <c r="V27" s="2">
        <f>IF(V9&lt;&gt;"",-Investment*UnosPodataka!$M$12,"")</f>
        <v>-4400</v>
      </c>
      <c r="W27" s="2">
        <f>IF(W9&lt;&gt;"",-Investment*UnosPodataka!$M$12,"")</f>
        <v>-4400</v>
      </c>
      <c r="X27" s="2">
        <f>IF(X9&lt;&gt;"",-Investment*UnosPodataka!$M$12,"")</f>
        <v>-4400</v>
      </c>
      <c r="Y27" s="2">
        <f>IF(Y9&lt;&gt;"",-Investment*UnosPodataka!$M$12,"")</f>
        <v>-4400</v>
      </c>
    </row>
    <row r="28" spans="1:25" x14ac:dyDescent="0.25">
      <c r="A28" s="75" t="s">
        <v>123</v>
      </c>
      <c r="B28" s="75"/>
      <c r="C28" s="75"/>
      <c r="D28" s="75"/>
      <c r="F28" s="2">
        <f>IF(F9&lt;&gt;"",-(1-UnosPodataka!$M$10)*'FinInd+CO2'!F17,"")</f>
        <v>0</v>
      </c>
      <c r="G28" s="2">
        <f>IF(G9&lt;&gt;"",-(1-UnosPodataka!$M$10)*'FinInd+CO2'!G17,"")</f>
        <v>0</v>
      </c>
      <c r="H28" s="2">
        <f>IF(H9&lt;&gt;"",-(1-UnosPodataka!$M$10)*'FinInd+CO2'!H17,"")</f>
        <v>0</v>
      </c>
      <c r="I28" s="2">
        <f>IF(I9&lt;&gt;"",-(1-UnosPodataka!$M$10)*'FinInd+CO2'!I17,"")</f>
        <v>0</v>
      </c>
      <c r="J28" s="2">
        <f>IF(J9&lt;&gt;"",-(1-UnosPodataka!$M$10)*'FinInd+CO2'!J17,"")</f>
        <v>0</v>
      </c>
      <c r="K28" s="2">
        <f>IF(K9&lt;&gt;"",-(1-UnosPodataka!$M$10)*'FinInd+CO2'!K17,"")</f>
        <v>0</v>
      </c>
      <c r="L28" s="2">
        <f>IF(L9&lt;&gt;"",-(1-UnosPodataka!$M$10)*'FinInd+CO2'!L17,"")</f>
        <v>0</v>
      </c>
      <c r="M28" s="2">
        <f>IF(M9&lt;&gt;"",-(1-UnosPodataka!$M$10)*'FinInd+CO2'!M17,"")</f>
        <v>0</v>
      </c>
      <c r="N28" s="2">
        <f>IF(N9&lt;&gt;"",-(1-UnosPodataka!$M$10)*'FinInd+CO2'!N17,"")</f>
        <v>0</v>
      </c>
      <c r="O28" s="2">
        <f>IF(O9&lt;&gt;"",-(1-UnosPodataka!$M$10)*'FinInd+CO2'!O17,"")</f>
        <v>0</v>
      </c>
      <c r="P28" s="2">
        <f>IF(P9&lt;&gt;"",-(1-UnosPodataka!$M$10)*'FinInd+CO2'!P17,"")</f>
        <v>0</v>
      </c>
      <c r="Q28" s="2">
        <f>IF(Q9&lt;&gt;"",-(1-UnosPodataka!$M$10)*'FinInd+CO2'!Q17,"")</f>
        <v>0</v>
      </c>
      <c r="R28" s="2">
        <f>IF(R9&lt;&gt;"",-(1-UnosPodataka!$M$10)*'FinInd+CO2'!R17,"")</f>
        <v>0</v>
      </c>
      <c r="S28" s="2">
        <f>IF(S9&lt;&gt;"",-(1-UnosPodataka!$M$10)*'FinInd+CO2'!S17,"")</f>
        <v>0</v>
      </c>
      <c r="T28" s="2">
        <f>IF(T9&lt;&gt;"",-(1-UnosPodataka!$M$10)*'FinInd+CO2'!T17,"")</f>
        <v>0</v>
      </c>
      <c r="U28" s="2">
        <f>IF(U9&lt;&gt;"",-(1-UnosPodataka!$M$10)*'FinInd+CO2'!U17,"")</f>
        <v>0</v>
      </c>
      <c r="V28" s="2">
        <f>IF(V9&lt;&gt;"",-(1-UnosPodataka!$M$10)*'FinInd+CO2'!V17,"")</f>
        <v>0</v>
      </c>
      <c r="W28" s="2">
        <f>IF(W9&lt;&gt;"",-(1-UnosPodataka!$M$10)*'FinInd+CO2'!W17,"")</f>
        <v>0</v>
      </c>
      <c r="X28" s="2">
        <f>IF(X9&lt;&gt;"",-(1-UnosPodataka!$M$10)*'FinInd+CO2'!X17,"")</f>
        <v>0</v>
      </c>
      <c r="Y28" s="2">
        <f>IF(Y9&lt;&gt;"",-(1-UnosPodataka!$M$10)*'FinInd+CO2'!Y17,"")</f>
        <v>0</v>
      </c>
    </row>
    <row r="29" spans="1:25" x14ac:dyDescent="0.25">
      <c r="A29" s="79" t="s">
        <v>94</v>
      </c>
      <c r="B29" s="79"/>
      <c r="C29" s="79"/>
      <c r="D29" s="79"/>
      <c r="E29" s="32"/>
      <c r="F29" s="33">
        <f t="shared" ref="F29:Y29" si="2">IF(F9&lt;&gt;"",SUM(F22:F28),"")</f>
        <v>-15589.329780253625</v>
      </c>
      <c r="G29" s="33">
        <f t="shared" si="2"/>
        <v>-15589.329780253625</v>
      </c>
      <c r="H29" s="33">
        <f t="shared" si="2"/>
        <v>-15589.329780253625</v>
      </c>
      <c r="I29" s="33">
        <f t="shared" si="2"/>
        <v>-15589.329780253625</v>
      </c>
      <c r="J29" s="33">
        <f t="shared" si="2"/>
        <v>-6700</v>
      </c>
      <c r="K29" s="33">
        <f t="shared" si="2"/>
        <v>-6700</v>
      </c>
      <c r="L29" s="33">
        <f t="shared" si="2"/>
        <v>-6700</v>
      </c>
      <c r="M29" s="33">
        <f t="shared" si="2"/>
        <v>-6700</v>
      </c>
      <c r="N29" s="33">
        <f t="shared" si="2"/>
        <v>-6700</v>
      </c>
      <c r="O29" s="33">
        <f t="shared" si="2"/>
        <v>-6700</v>
      </c>
      <c r="P29" s="33">
        <f t="shared" si="2"/>
        <v>-6700</v>
      </c>
      <c r="Q29" s="33">
        <f t="shared" si="2"/>
        <v>-6700</v>
      </c>
      <c r="R29" s="33">
        <f t="shared" si="2"/>
        <v>-6700</v>
      </c>
      <c r="S29" s="33">
        <f t="shared" si="2"/>
        <v>-6700</v>
      </c>
      <c r="T29" s="33">
        <f t="shared" si="2"/>
        <v>-6700</v>
      </c>
      <c r="U29" s="33">
        <f t="shared" si="2"/>
        <v>-6700</v>
      </c>
      <c r="V29" s="33">
        <f t="shared" si="2"/>
        <v>-6700</v>
      </c>
      <c r="W29" s="33">
        <f t="shared" si="2"/>
        <v>-6700</v>
      </c>
      <c r="X29" s="33">
        <f t="shared" si="2"/>
        <v>-6700</v>
      </c>
      <c r="Y29" s="33">
        <f t="shared" si="2"/>
        <v>-6700</v>
      </c>
    </row>
    <row r="31" spans="1:25" x14ac:dyDescent="0.25">
      <c r="A31" t="s">
        <v>148</v>
      </c>
      <c r="E31" s="2">
        <f>-SUM(E11:E13)</f>
        <v>-44000</v>
      </c>
      <c r="F31" s="2">
        <f>+F29-F27-F34</f>
        <v>-11189.329780253625</v>
      </c>
      <c r="G31" s="2">
        <f t="shared" ref="G31:Y31" si="3">+G29-G27-G34</f>
        <v>-11189.329780253625</v>
      </c>
      <c r="H31" s="2">
        <f t="shared" si="3"/>
        <v>-11189.329780253625</v>
      </c>
      <c r="I31" s="2">
        <f t="shared" si="3"/>
        <v>-11189.329780253625</v>
      </c>
      <c r="J31" s="2">
        <f t="shared" si="3"/>
        <v>-3287.8667663414608</v>
      </c>
      <c r="K31" s="2">
        <f t="shared" si="3"/>
        <v>-3287.8667663414608</v>
      </c>
      <c r="L31" s="2">
        <f t="shared" si="3"/>
        <v>-3287.8667663414608</v>
      </c>
      <c r="M31" s="2">
        <f t="shared" si="3"/>
        <v>-3287.8667663414608</v>
      </c>
      <c r="N31" s="2">
        <f t="shared" si="3"/>
        <v>-3287.8667663414608</v>
      </c>
      <c r="O31" s="2">
        <f t="shared" si="3"/>
        <v>-3287.8667663414608</v>
      </c>
      <c r="P31" s="2">
        <f t="shared" si="3"/>
        <v>-3287.8667663414608</v>
      </c>
      <c r="Q31" s="2">
        <f t="shared" si="3"/>
        <v>-3287.8667663414608</v>
      </c>
      <c r="R31" s="2">
        <f t="shared" si="3"/>
        <v>-3287.8667663414608</v>
      </c>
      <c r="S31" s="2">
        <f t="shared" si="3"/>
        <v>-3287.8667663414608</v>
      </c>
      <c r="T31" s="2">
        <f t="shared" si="3"/>
        <v>-3287.8667663414608</v>
      </c>
      <c r="U31" s="2">
        <f t="shared" si="3"/>
        <v>-3287.8667663414608</v>
      </c>
      <c r="V31" s="2">
        <f t="shared" si="3"/>
        <v>-3287.8667663414608</v>
      </c>
      <c r="W31" s="2">
        <f t="shared" si="3"/>
        <v>-3287.8667663414608</v>
      </c>
      <c r="X31" s="2">
        <f t="shared" si="3"/>
        <v>-3287.8667663414608</v>
      </c>
      <c r="Y31" s="2">
        <f t="shared" si="3"/>
        <v>-3287.8667663414608</v>
      </c>
    </row>
    <row r="32" spans="1:25" x14ac:dyDescent="0.25">
      <c r="A32" s="67" t="s">
        <v>149</v>
      </c>
      <c r="B32" s="67"/>
      <c r="C32" s="67"/>
      <c r="D32" s="67"/>
      <c r="F32" s="2">
        <f t="shared" ref="F32:Y32" si="4">IF(F9&lt;&gt;"",F19+F29,"")</f>
        <v>-2303.5513379772183</v>
      </c>
      <c r="G32" s="2">
        <f t="shared" si="4"/>
        <v>-2303.5513379772183</v>
      </c>
      <c r="H32" s="2">
        <f t="shared" si="4"/>
        <v>-2303.5513379772183</v>
      </c>
      <c r="I32" s="2">
        <f t="shared" si="4"/>
        <v>-2303.5513379772183</v>
      </c>
      <c r="J32" s="2">
        <f t="shared" si="4"/>
        <v>6585.7784422764071</v>
      </c>
      <c r="K32" s="2">
        <f t="shared" si="4"/>
        <v>6585.7784422764071</v>
      </c>
      <c r="L32" s="2">
        <f t="shared" si="4"/>
        <v>6585.7784422764071</v>
      </c>
      <c r="M32" s="2">
        <f t="shared" si="4"/>
        <v>6585.7784422764071</v>
      </c>
      <c r="N32" s="2">
        <f t="shared" si="4"/>
        <v>6585.7784422764071</v>
      </c>
      <c r="O32" s="2">
        <f t="shared" si="4"/>
        <v>6585.7784422764071</v>
      </c>
      <c r="P32" s="2">
        <f t="shared" si="4"/>
        <v>6585.7784422764071</v>
      </c>
      <c r="Q32" s="2">
        <f t="shared" si="4"/>
        <v>6585.7784422764071</v>
      </c>
      <c r="R32" s="2">
        <f t="shared" si="4"/>
        <v>6585.7784422764071</v>
      </c>
      <c r="S32" s="2">
        <f t="shared" si="4"/>
        <v>6585.7784422764071</v>
      </c>
      <c r="T32" s="2">
        <f t="shared" si="4"/>
        <v>6585.7784422764071</v>
      </c>
      <c r="U32" s="2">
        <f t="shared" si="4"/>
        <v>6585.7784422764071</v>
      </c>
      <c r="V32" s="2">
        <f t="shared" si="4"/>
        <v>6585.7784422764071</v>
      </c>
      <c r="W32" s="2">
        <f t="shared" si="4"/>
        <v>6585.7784422764071</v>
      </c>
      <c r="X32" s="2">
        <f t="shared" si="4"/>
        <v>6585.7784422764071</v>
      </c>
      <c r="Y32" s="2">
        <f t="shared" si="4"/>
        <v>6585.7784422764071</v>
      </c>
    </row>
    <row r="33" spans="1:25" x14ac:dyDescent="0.25">
      <c r="A33" s="76"/>
      <c r="B33" s="76"/>
      <c r="C33" s="76"/>
      <c r="D33" s="76"/>
    </row>
    <row r="34" spans="1:25" x14ac:dyDescent="0.25">
      <c r="A34" s="75" t="s">
        <v>86</v>
      </c>
      <c r="B34" s="75"/>
      <c r="C34" s="75"/>
      <c r="D34" s="75"/>
      <c r="F34" s="2">
        <f t="shared" ref="F34:Y34" si="5">IF(F9&lt;&gt;"",IF(F32&gt;0,F32*VAT,0),"")</f>
        <v>0</v>
      </c>
      <c r="G34" s="2">
        <f t="shared" si="5"/>
        <v>0</v>
      </c>
      <c r="H34" s="2">
        <f t="shared" si="5"/>
        <v>0</v>
      </c>
      <c r="I34" s="2">
        <f t="shared" si="5"/>
        <v>0</v>
      </c>
      <c r="J34" s="2">
        <f t="shared" si="5"/>
        <v>987.86676634146102</v>
      </c>
      <c r="K34" s="2">
        <f t="shared" si="5"/>
        <v>987.86676634146102</v>
      </c>
      <c r="L34" s="2">
        <f t="shared" si="5"/>
        <v>987.86676634146102</v>
      </c>
      <c r="M34" s="2">
        <f t="shared" si="5"/>
        <v>987.86676634146102</v>
      </c>
      <c r="N34" s="2">
        <f t="shared" si="5"/>
        <v>987.86676634146102</v>
      </c>
      <c r="O34" s="2">
        <f t="shared" si="5"/>
        <v>987.86676634146102</v>
      </c>
      <c r="P34" s="2">
        <f t="shared" si="5"/>
        <v>987.86676634146102</v>
      </c>
      <c r="Q34" s="2">
        <f t="shared" si="5"/>
        <v>987.86676634146102</v>
      </c>
      <c r="R34" s="2">
        <f t="shared" si="5"/>
        <v>987.86676634146102</v>
      </c>
      <c r="S34" s="2">
        <f t="shared" si="5"/>
        <v>987.86676634146102</v>
      </c>
      <c r="T34" s="2">
        <f t="shared" si="5"/>
        <v>987.86676634146102</v>
      </c>
      <c r="U34" s="2">
        <f t="shared" si="5"/>
        <v>987.86676634146102</v>
      </c>
      <c r="V34" s="2">
        <f t="shared" si="5"/>
        <v>987.86676634146102</v>
      </c>
      <c r="W34" s="2">
        <f t="shared" si="5"/>
        <v>987.86676634146102</v>
      </c>
      <c r="X34" s="2">
        <f t="shared" si="5"/>
        <v>987.86676634146102</v>
      </c>
      <c r="Y34" s="2">
        <f t="shared" si="5"/>
        <v>987.86676634146102</v>
      </c>
    </row>
    <row r="35" spans="1:25" x14ac:dyDescent="0.25">
      <c r="A35" s="67" t="s">
        <v>87</v>
      </c>
      <c r="B35" s="67"/>
      <c r="C35" s="67"/>
      <c r="D35" s="67"/>
      <c r="E35" s="2"/>
      <c r="F35" s="2">
        <f t="shared" ref="F35:Y35" si="6">IF(F9&lt;&gt;"",F32-F34,"")</f>
        <v>-2303.5513379772183</v>
      </c>
      <c r="G35" s="2">
        <f t="shared" si="6"/>
        <v>-2303.5513379772183</v>
      </c>
      <c r="H35" s="2">
        <f t="shared" si="6"/>
        <v>-2303.5513379772183</v>
      </c>
      <c r="I35" s="2">
        <f t="shared" si="6"/>
        <v>-2303.5513379772183</v>
      </c>
      <c r="J35" s="2">
        <f t="shared" si="6"/>
        <v>5597.9116759349463</v>
      </c>
      <c r="K35" s="2">
        <f t="shared" si="6"/>
        <v>5597.9116759349463</v>
      </c>
      <c r="L35" s="2">
        <f t="shared" si="6"/>
        <v>5597.9116759349463</v>
      </c>
      <c r="M35" s="2">
        <f t="shared" si="6"/>
        <v>5597.9116759349463</v>
      </c>
      <c r="N35" s="2">
        <f t="shared" si="6"/>
        <v>5597.9116759349463</v>
      </c>
      <c r="O35" s="2">
        <f t="shared" si="6"/>
        <v>5597.9116759349463</v>
      </c>
      <c r="P35" s="2">
        <f t="shared" si="6"/>
        <v>5597.9116759349463</v>
      </c>
      <c r="Q35" s="2">
        <f t="shared" si="6"/>
        <v>5597.9116759349463</v>
      </c>
      <c r="R35" s="2">
        <f t="shared" si="6"/>
        <v>5597.9116759349463</v>
      </c>
      <c r="S35" s="2">
        <f t="shared" si="6"/>
        <v>5597.9116759349463</v>
      </c>
      <c r="T35" s="2">
        <f t="shared" si="6"/>
        <v>5597.9116759349463</v>
      </c>
      <c r="U35" s="2">
        <f t="shared" si="6"/>
        <v>5597.9116759349463</v>
      </c>
      <c r="V35" s="2">
        <f t="shared" si="6"/>
        <v>5597.9116759349463</v>
      </c>
      <c r="W35" s="2">
        <f t="shared" si="6"/>
        <v>5597.9116759349463</v>
      </c>
      <c r="X35" s="2">
        <f t="shared" si="6"/>
        <v>5597.9116759349463</v>
      </c>
      <c r="Y35" s="2">
        <f t="shared" si="6"/>
        <v>5597.9116759349463</v>
      </c>
    </row>
    <row r="37" spans="1:25" x14ac:dyDescent="0.25">
      <c r="A37" s="34" t="s">
        <v>150</v>
      </c>
      <c r="E37" s="2">
        <f t="shared" ref="E37:Y37" si="7">+E19+E31</f>
        <v>-44000</v>
      </c>
      <c r="F37" s="2">
        <f t="shared" si="7"/>
        <v>2096.4486620227817</v>
      </c>
      <c r="G37" s="2">
        <f t="shared" si="7"/>
        <v>2096.4486620227817</v>
      </c>
      <c r="H37" s="2">
        <f t="shared" si="7"/>
        <v>2096.4486620227817</v>
      </c>
      <c r="I37" s="2">
        <f t="shared" si="7"/>
        <v>2096.4486620227817</v>
      </c>
      <c r="J37" s="2">
        <f t="shared" si="7"/>
        <v>9997.9116759349454</v>
      </c>
      <c r="K37" s="2">
        <f t="shared" si="7"/>
        <v>9997.9116759349454</v>
      </c>
      <c r="L37" s="2">
        <f t="shared" si="7"/>
        <v>9997.9116759349454</v>
      </c>
      <c r="M37" s="2">
        <f t="shared" si="7"/>
        <v>9997.9116759349454</v>
      </c>
      <c r="N37" s="2">
        <f t="shared" si="7"/>
        <v>9997.9116759349454</v>
      </c>
      <c r="O37" s="2">
        <f t="shared" si="7"/>
        <v>9997.9116759349454</v>
      </c>
      <c r="P37" s="2">
        <f t="shared" si="7"/>
        <v>9997.9116759349454</v>
      </c>
      <c r="Q37" s="2">
        <f t="shared" si="7"/>
        <v>9997.9116759349454</v>
      </c>
      <c r="R37" s="2">
        <f t="shared" si="7"/>
        <v>9997.9116759349454</v>
      </c>
      <c r="S37" s="2">
        <f t="shared" si="7"/>
        <v>9997.9116759349454</v>
      </c>
      <c r="T37" s="2">
        <f t="shared" si="7"/>
        <v>9997.9116759349454</v>
      </c>
      <c r="U37" s="2">
        <f t="shared" si="7"/>
        <v>9997.9116759349454</v>
      </c>
      <c r="V37" s="2">
        <f t="shared" si="7"/>
        <v>9997.9116759349454</v>
      </c>
      <c r="W37" s="2">
        <f t="shared" si="7"/>
        <v>9997.9116759349454</v>
      </c>
      <c r="X37" s="2">
        <f t="shared" si="7"/>
        <v>9997.9116759349454</v>
      </c>
      <c r="Y37" s="2">
        <f t="shared" si="7"/>
        <v>9997.9116759349454</v>
      </c>
    </row>
    <row r="38" spans="1:25" x14ac:dyDescent="0.25">
      <c r="A38" s="34" t="s">
        <v>151</v>
      </c>
      <c r="E38" s="2">
        <f>+E37</f>
        <v>-44000</v>
      </c>
      <c r="F38" s="2">
        <f>+E38+F37</f>
        <v>-41903.551337977216</v>
      </c>
      <c r="G38" s="2">
        <f t="shared" ref="G38:Y38" si="8">+F38+G37</f>
        <v>-39807.102675954433</v>
      </c>
      <c r="H38" s="2">
        <f t="shared" si="8"/>
        <v>-37710.654013931649</v>
      </c>
      <c r="I38" s="2">
        <f t="shared" si="8"/>
        <v>-35614.205351908866</v>
      </c>
      <c r="J38" s="2">
        <f t="shared" si="8"/>
        <v>-25616.29367597392</v>
      </c>
      <c r="K38" s="2">
        <f t="shared" si="8"/>
        <v>-15618.382000038975</v>
      </c>
      <c r="L38" s="2">
        <f t="shared" si="8"/>
        <v>-5620.4703241040297</v>
      </c>
      <c r="M38" s="2">
        <f t="shared" si="8"/>
        <v>4377.4413518309157</v>
      </c>
      <c r="N38" s="2">
        <f t="shared" si="8"/>
        <v>14375.353027765861</v>
      </c>
      <c r="O38" s="2">
        <f t="shared" si="8"/>
        <v>24373.264703700806</v>
      </c>
      <c r="P38" s="2">
        <f t="shared" si="8"/>
        <v>34371.176379635755</v>
      </c>
      <c r="Q38" s="2">
        <f t="shared" si="8"/>
        <v>44369.088055570697</v>
      </c>
      <c r="R38" s="2">
        <f t="shared" si="8"/>
        <v>54366.999731505639</v>
      </c>
      <c r="S38" s="2">
        <f t="shared" si="8"/>
        <v>64364.911407440581</v>
      </c>
      <c r="T38" s="2">
        <f t="shared" si="8"/>
        <v>74362.823083375522</v>
      </c>
      <c r="U38" s="2">
        <f t="shared" si="8"/>
        <v>84360.734759310464</v>
      </c>
      <c r="V38" s="2">
        <f t="shared" si="8"/>
        <v>94358.646435245406</v>
      </c>
      <c r="W38" s="2">
        <f t="shared" si="8"/>
        <v>104356.55811118035</v>
      </c>
      <c r="X38" s="2">
        <f t="shared" si="8"/>
        <v>114354.46978711529</v>
      </c>
      <c r="Y38" s="2">
        <f t="shared" si="8"/>
        <v>124352.38146305023</v>
      </c>
    </row>
    <row r="39" spans="1:25" x14ac:dyDescent="0.25">
      <c r="A39" s="15"/>
    </row>
    <row r="40" spans="1:25" x14ac:dyDescent="0.25">
      <c r="A40" s="34" t="s">
        <v>62</v>
      </c>
      <c r="E40" s="6">
        <f>+PomTab1!K25</f>
        <v>9.6161363636363642E-2</v>
      </c>
    </row>
    <row r="41" spans="1:25" x14ac:dyDescent="0.25">
      <c r="A41" s="34" t="s">
        <v>152</v>
      </c>
      <c r="E41" s="2">
        <f t="shared" ref="E41:Y41" si="9">IF(E9&lt;&gt;"",E37*(1+$E$40)^-E9,"")</f>
        <v>-44000</v>
      </c>
      <c r="F41" s="2">
        <f t="shared" si="9"/>
        <v>1912.5365403028834</v>
      </c>
      <c r="G41" s="2">
        <f t="shared" si="9"/>
        <v>1744.7582114719937</v>
      </c>
      <c r="H41" s="2">
        <f t="shared" si="9"/>
        <v>1591.6983295999412</v>
      </c>
      <c r="I41" s="2">
        <f t="shared" si="9"/>
        <v>1452.0657107633335</v>
      </c>
      <c r="J41" s="2">
        <f t="shared" si="9"/>
        <v>6317.3777075217949</v>
      </c>
      <c r="K41" s="2">
        <f t="shared" si="9"/>
        <v>5763.1822440491514</v>
      </c>
      <c r="L41" s="2">
        <f t="shared" si="9"/>
        <v>5257.6038850070327</v>
      </c>
      <c r="M41" s="2">
        <f t="shared" si="9"/>
        <v>4796.3776679426646</v>
      </c>
      <c r="N41" s="2">
        <f t="shared" si="9"/>
        <v>4375.6127766001027</v>
      </c>
      <c r="O41" s="2">
        <f t="shared" si="9"/>
        <v>3991.7597187375891</v>
      </c>
      <c r="P41" s="2">
        <f t="shared" si="9"/>
        <v>3641.5803832890797</v>
      </c>
      <c r="Q41" s="2">
        <f t="shared" si="9"/>
        <v>3322.1207242778937</v>
      </c>
      <c r="R41" s="2">
        <f t="shared" si="9"/>
        <v>3030.685841049185</v>
      </c>
      <c r="S41" s="2">
        <f t="shared" si="9"/>
        <v>2764.8172446028416</v>
      </c>
      <c r="T41" s="2">
        <f t="shared" si="9"/>
        <v>2522.2721182499481</v>
      </c>
      <c r="U41" s="2">
        <f t="shared" si="9"/>
        <v>2301.0043976396496</v>
      </c>
      <c r="V41" s="2">
        <f t="shared" si="9"/>
        <v>2099.1475105511709</v>
      </c>
      <c r="W41" s="2">
        <f t="shared" si="9"/>
        <v>1914.9986308471407</v>
      </c>
      <c r="X41" s="2">
        <f t="shared" si="9"/>
        <v>1747.0043137576004</v>
      </c>
      <c r="Y41" s="2">
        <f t="shared" si="9"/>
        <v>1593.7473913166905</v>
      </c>
    </row>
    <row r="42" spans="1:25" x14ac:dyDescent="0.25">
      <c r="A42" s="34" t="s">
        <v>153</v>
      </c>
      <c r="E42" s="2">
        <f>+E41</f>
        <v>-44000</v>
      </c>
      <c r="F42" s="2">
        <f>+E42+F41</f>
        <v>-42087.463459697115</v>
      </c>
      <c r="G42" s="2">
        <f t="shared" ref="G42:Y42" si="10">+F42+G41</f>
        <v>-40342.705248225124</v>
      </c>
      <c r="H42" s="2">
        <f t="shared" si="10"/>
        <v>-38751.006918625186</v>
      </c>
      <c r="I42" s="2">
        <f t="shared" si="10"/>
        <v>-37298.941207861855</v>
      </c>
      <c r="J42" s="2">
        <f t="shared" si="10"/>
        <v>-30981.56350034006</v>
      </c>
      <c r="K42" s="2">
        <f t="shared" si="10"/>
        <v>-25218.381256290908</v>
      </c>
      <c r="L42" s="2">
        <f t="shared" si="10"/>
        <v>-19960.777371283875</v>
      </c>
      <c r="M42" s="2">
        <f t="shared" si="10"/>
        <v>-15164.399703341211</v>
      </c>
      <c r="N42" s="2">
        <f t="shared" si="10"/>
        <v>-10788.786926741108</v>
      </c>
      <c r="O42" s="2">
        <f t="shared" si="10"/>
        <v>-6797.0272080035193</v>
      </c>
      <c r="P42" s="2">
        <f t="shared" si="10"/>
        <v>-3155.4468247144396</v>
      </c>
      <c r="Q42" s="2">
        <f t="shared" si="10"/>
        <v>166.67389956345414</v>
      </c>
      <c r="R42" s="2">
        <f t="shared" si="10"/>
        <v>3197.3597406126391</v>
      </c>
      <c r="S42" s="2">
        <f t="shared" si="10"/>
        <v>5962.1769852154812</v>
      </c>
      <c r="T42" s="2">
        <f t="shared" si="10"/>
        <v>8484.4491034654293</v>
      </c>
      <c r="U42" s="2">
        <f t="shared" si="10"/>
        <v>10785.453501105079</v>
      </c>
      <c r="V42" s="2">
        <f t="shared" si="10"/>
        <v>12884.60101165625</v>
      </c>
      <c r="W42" s="2">
        <f t="shared" si="10"/>
        <v>14799.599642503392</v>
      </c>
      <c r="X42" s="2">
        <f t="shared" si="10"/>
        <v>16546.603956260991</v>
      </c>
      <c r="Y42" s="2">
        <f t="shared" si="10"/>
        <v>18140.351347577682</v>
      </c>
    </row>
    <row r="43" spans="1:25" x14ac:dyDescent="0.25">
      <c r="A43" s="34"/>
    </row>
    <row r="44" spans="1:25" x14ac:dyDescent="0.25">
      <c r="A44" s="35" t="s">
        <v>154</v>
      </c>
      <c r="B44" s="37"/>
      <c r="C44" s="37"/>
      <c r="D44" s="37"/>
      <c r="E44" s="41">
        <f>+NPV(E40,E37:Y37)</f>
        <v>16548.978963644153</v>
      </c>
      <c r="F44" s="37"/>
    </row>
    <row r="45" spans="1:25" x14ac:dyDescent="0.25">
      <c r="A45" s="35" t="s">
        <v>155</v>
      </c>
      <c r="B45" s="37"/>
      <c r="C45" s="37"/>
      <c r="D45" s="37"/>
      <c r="E45" s="39">
        <f>+IRR(E37:Y37,10)</f>
        <v>0.1376247709003342</v>
      </c>
      <c r="F45" s="37"/>
    </row>
    <row r="46" spans="1:25" x14ac:dyDescent="0.25">
      <c r="A46" s="35" t="s">
        <v>156</v>
      </c>
      <c r="B46" s="37"/>
      <c r="C46" s="37"/>
      <c r="D46" s="37"/>
      <c r="E46" s="42">
        <f>+NPV(E40,F19:Y19)/-NPV(E40,E31:Y31)</f>
        <v>1.2990733696183883</v>
      </c>
      <c r="F46" s="37"/>
    </row>
    <row r="47" spans="1:25" x14ac:dyDescent="0.25">
      <c r="A47" s="35" t="s">
        <v>157</v>
      </c>
      <c r="B47" s="37"/>
      <c r="C47" s="37"/>
      <c r="D47" s="37"/>
      <c r="E47" s="37" cm="1">
        <f t="array" ref="E47">+LOOKUP(INDEX(E38:Y38,MATCH(TRUE,E38:Y38&gt;0,0)),E38:Y38,E9:Y9)</f>
        <v>8</v>
      </c>
      <c r="F47" s="37" t="s">
        <v>159</v>
      </c>
    </row>
    <row r="48" spans="1:25" x14ac:dyDescent="0.25">
      <c r="A48" s="35" t="s">
        <v>158</v>
      </c>
      <c r="B48" s="37"/>
      <c r="C48" s="37"/>
      <c r="D48" s="37"/>
      <c r="E48" s="37" cm="1">
        <f t="array" ref="E48">+LOOKUP(INDEX(E42:Y42,MATCH(TRUE,E42:Y42&gt;0,0)),E42:Y42,E9:Y9)</f>
        <v>12</v>
      </c>
      <c r="F48" s="37" t="s">
        <v>159</v>
      </c>
    </row>
    <row r="50" spans="1:26" x14ac:dyDescent="0.25">
      <c r="A50" s="75" t="s">
        <v>160</v>
      </c>
      <c r="B50" s="75"/>
      <c r="C50" s="75"/>
      <c r="D50" s="75"/>
      <c r="E50" s="2">
        <f t="shared" ref="E50:Y50" si="11">IF(E9&lt;&gt;"",E31,"")</f>
        <v>-44000</v>
      </c>
      <c r="F50" s="2">
        <f t="shared" si="11"/>
        <v>-11189.329780253625</v>
      </c>
      <c r="G50" s="2">
        <f t="shared" si="11"/>
        <v>-11189.329780253625</v>
      </c>
      <c r="H50" s="2">
        <f t="shared" si="11"/>
        <v>-11189.329780253625</v>
      </c>
      <c r="I50" s="2">
        <f t="shared" si="11"/>
        <v>-11189.329780253625</v>
      </c>
      <c r="J50" s="2">
        <f t="shared" si="11"/>
        <v>-3287.8667663414608</v>
      </c>
      <c r="K50" s="2">
        <f t="shared" si="11"/>
        <v>-3287.8667663414608</v>
      </c>
      <c r="L50" s="2">
        <f t="shared" si="11"/>
        <v>-3287.8667663414608</v>
      </c>
      <c r="M50" s="2">
        <f t="shared" si="11"/>
        <v>-3287.8667663414608</v>
      </c>
      <c r="N50" s="2">
        <f t="shared" si="11"/>
        <v>-3287.8667663414608</v>
      </c>
      <c r="O50" s="2">
        <f t="shared" si="11"/>
        <v>-3287.8667663414608</v>
      </c>
      <c r="P50" s="2">
        <f t="shared" si="11"/>
        <v>-3287.8667663414608</v>
      </c>
      <c r="Q50" s="2">
        <f t="shared" si="11"/>
        <v>-3287.8667663414608</v>
      </c>
      <c r="R50" s="2">
        <f t="shared" si="11"/>
        <v>-3287.8667663414608</v>
      </c>
      <c r="S50" s="2">
        <f t="shared" si="11"/>
        <v>-3287.8667663414608</v>
      </c>
      <c r="T50" s="2">
        <f t="shared" si="11"/>
        <v>-3287.8667663414608</v>
      </c>
      <c r="U50" s="2">
        <f t="shared" si="11"/>
        <v>-3287.8667663414608</v>
      </c>
      <c r="V50" s="2">
        <f t="shared" si="11"/>
        <v>-3287.8667663414608</v>
      </c>
      <c r="W50" s="2">
        <f t="shared" si="11"/>
        <v>-3287.8667663414608</v>
      </c>
      <c r="X50" s="2">
        <f t="shared" si="11"/>
        <v>-3287.8667663414608</v>
      </c>
      <c r="Y50" s="2">
        <f t="shared" si="11"/>
        <v>-3287.8667663414608</v>
      </c>
      <c r="Z50" s="2"/>
    </row>
    <row r="51" spans="1:26" x14ac:dyDescent="0.25">
      <c r="A51" s="75" t="s">
        <v>161</v>
      </c>
      <c r="B51" s="75"/>
      <c r="C51" s="75"/>
      <c r="D51" s="75"/>
      <c r="E51" s="2">
        <f t="shared" ref="E51:Y51" si="12">IF(E9&lt;&gt;"",E50*(1+$E$40)^-E9,"")</f>
        <v>-44000</v>
      </c>
      <c r="F51" s="2">
        <f t="shared" si="12"/>
        <v>-10207.73961885919</v>
      </c>
      <c r="G51" s="2">
        <f t="shared" si="12"/>
        <v>-9312.2599988348684</v>
      </c>
      <c r="H51" s="2">
        <f t="shared" si="12"/>
        <v>-8495.3368251757529</v>
      </c>
      <c r="I51" s="2">
        <f t="shared" si="12"/>
        <v>-7750.0786900512976</v>
      </c>
      <c r="J51" s="2">
        <f t="shared" si="12"/>
        <v>-2077.5034715482184</v>
      </c>
      <c r="K51" s="2">
        <f t="shared" si="12"/>
        <v>-1895.2533271710913</v>
      </c>
      <c r="L51" s="2">
        <f t="shared" si="12"/>
        <v>-1728.9911777987238</v>
      </c>
      <c r="M51" s="2">
        <f t="shared" si="12"/>
        <v>-1577.3144677012103</v>
      </c>
      <c r="N51" s="2">
        <f t="shared" si="12"/>
        <v>-1438.943681128012</v>
      </c>
      <c r="O51" s="2">
        <f t="shared" si="12"/>
        <v>-1312.7115485575184</v>
      </c>
      <c r="P51" s="2">
        <f t="shared" si="12"/>
        <v>-1197.5531998343561</v>
      </c>
      <c r="Q51" s="2">
        <f t="shared" si="12"/>
        <v>-1092.4971811281864</v>
      </c>
      <c r="R51" s="2">
        <f t="shared" si="12"/>
        <v>-996.65725993477668</v>
      </c>
      <c r="S51" s="2">
        <f t="shared" si="12"/>
        <v>-909.22494898789728</v>
      </c>
      <c r="T51" s="2">
        <f t="shared" si="12"/>
        <v>-829.46268601519535</v>
      </c>
      <c r="U51" s="2">
        <f t="shared" si="12"/>
        <v>-756.69761180376554</v>
      </c>
      <c r="V51" s="2">
        <f t="shared" si="12"/>
        <v>-690.31589408837203</v>
      </c>
      <c r="W51" s="2">
        <f t="shared" si="12"/>
        <v>-629.75754937972329</v>
      </c>
      <c r="X51" s="2">
        <f t="shared" si="12"/>
        <v>-574.5117190507334</v>
      </c>
      <c r="Y51" s="2">
        <f t="shared" si="12"/>
        <v>-524.11235983073732</v>
      </c>
      <c r="Z51" s="2"/>
    </row>
    <row r="52" spans="1:26" x14ac:dyDescent="0.25">
      <c r="A52" s="75" t="s">
        <v>162</v>
      </c>
      <c r="B52" s="75"/>
      <c r="C52" s="75"/>
      <c r="D52" s="75"/>
      <c r="E52" s="2">
        <f>+E51</f>
        <v>-44000</v>
      </c>
      <c r="F52" s="2">
        <f>+E52+F51</f>
        <v>-54207.739618859188</v>
      </c>
      <c r="G52" s="2">
        <f t="shared" ref="G52:Y52" si="13">IF(G9&lt;&gt;"",F52+G51,"")</f>
        <v>-63519.999617694055</v>
      </c>
      <c r="H52" s="2">
        <f t="shared" si="13"/>
        <v>-72015.336442869811</v>
      </c>
      <c r="I52" s="2">
        <f t="shared" si="13"/>
        <v>-79765.415132921102</v>
      </c>
      <c r="J52" s="2">
        <f t="shared" si="13"/>
        <v>-81842.91860446932</v>
      </c>
      <c r="K52" s="2">
        <f t="shared" si="13"/>
        <v>-83738.171931640405</v>
      </c>
      <c r="L52" s="2">
        <f t="shared" si="13"/>
        <v>-85467.163109439134</v>
      </c>
      <c r="M52" s="2">
        <f t="shared" si="13"/>
        <v>-87044.477577140351</v>
      </c>
      <c r="N52" s="2">
        <f t="shared" si="13"/>
        <v>-88483.421258268369</v>
      </c>
      <c r="O52" s="2">
        <f t="shared" si="13"/>
        <v>-89796.132806825888</v>
      </c>
      <c r="P52" s="2">
        <f t="shared" si="13"/>
        <v>-90993.686006660238</v>
      </c>
      <c r="Q52" s="2">
        <f t="shared" si="13"/>
        <v>-92086.183187788425</v>
      </c>
      <c r="R52" s="2">
        <f t="shared" si="13"/>
        <v>-93082.840447723196</v>
      </c>
      <c r="S52" s="2">
        <f t="shared" si="13"/>
        <v>-93992.065396711099</v>
      </c>
      <c r="T52" s="2">
        <f t="shared" si="13"/>
        <v>-94821.52808272629</v>
      </c>
      <c r="U52" s="2">
        <f t="shared" si="13"/>
        <v>-95578.225694530061</v>
      </c>
      <c r="V52" s="2">
        <f t="shared" si="13"/>
        <v>-96268.541588618435</v>
      </c>
      <c r="W52" s="2">
        <f t="shared" si="13"/>
        <v>-96898.299137998154</v>
      </c>
      <c r="X52" s="2">
        <f t="shared" si="13"/>
        <v>-97472.810857048884</v>
      </c>
      <c r="Y52" s="2">
        <f t="shared" si="13"/>
        <v>-97996.923216879615</v>
      </c>
    </row>
    <row r="53" spans="1:26" x14ac:dyDescent="0.25">
      <c r="A53" s="75" t="s">
        <v>163</v>
      </c>
      <c r="B53" s="75"/>
      <c r="C53" s="75"/>
      <c r="D53" s="75"/>
      <c r="F53" s="2">
        <f t="shared" ref="F53:Y53" si="14">IF(F9&lt;&gt;"",F19,"")</f>
        <v>13285.778442276407</v>
      </c>
      <c r="G53" s="2">
        <f t="shared" si="14"/>
        <v>13285.778442276407</v>
      </c>
      <c r="H53" s="2">
        <f t="shared" si="14"/>
        <v>13285.778442276407</v>
      </c>
      <c r="I53" s="2">
        <f t="shared" si="14"/>
        <v>13285.778442276407</v>
      </c>
      <c r="J53" s="2">
        <f t="shared" si="14"/>
        <v>13285.778442276407</v>
      </c>
      <c r="K53" s="2">
        <f t="shared" si="14"/>
        <v>13285.778442276407</v>
      </c>
      <c r="L53" s="2">
        <f t="shared" si="14"/>
        <v>13285.778442276407</v>
      </c>
      <c r="M53" s="2">
        <f t="shared" si="14"/>
        <v>13285.778442276407</v>
      </c>
      <c r="N53" s="2">
        <f t="shared" si="14"/>
        <v>13285.778442276407</v>
      </c>
      <c r="O53" s="2">
        <f t="shared" si="14"/>
        <v>13285.778442276407</v>
      </c>
      <c r="P53" s="2">
        <f t="shared" si="14"/>
        <v>13285.778442276407</v>
      </c>
      <c r="Q53" s="2">
        <f t="shared" si="14"/>
        <v>13285.778442276407</v>
      </c>
      <c r="R53" s="2">
        <f t="shared" si="14"/>
        <v>13285.778442276407</v>
      </c>
      <c r="S53" s="2">
        <f t="shared" si="14"/>
        <v>13285.778442276407</v>
      </c>
      <c r="T53" s="2">
        <f t="shared" si="14"/>
        <v>13285.778442276407</v>
      </c>
      <c r="U53" s="2">
        <f t="shared" si="14"/>
        <v>13285.778442276407</v>
      </c>
      <c r="V53" s="2">
        <f t="shared" si="14"/>
        <v>13285.778442276407</v>
      </c>
      <c r="W53" s="2">
        <f t="shared" si="14"/>
        <v>13285.778442276407</v>
      </c>
      <c r="X53" s="2">
        <f t="shared" si="14"/>
        <v>13285.778442276407</v>
      </c>
      <c r="Y53" s="2">
        <f t="shared" si="14"/>
        <v>13285.778442276407</v>
      </c>
    </row>
    <row r="54" spans="1:26" x14ac:dyDescent="0.25">
      <c r="A54" s="75" t="s">
        <v>164</v>
      </c>
      <c r="B54" s="75"/>
      <c r="C54" s="75"/>
      <c r="D54" s="75"/>
      <c r="F54" s="2">
        <f t="shared" ref="F54:Y54" si="15">IF(F9&lt;&gt;"",F53*(1+$E$40)^-F9,"")</f>
        <v>12120.276159162075</v>
      </c>
      <c r="G54" s="2">
        <f t="shared" si="15"/>
        <v>11057.018210306862</v>
      </c>
      <c r="H54" s="2">
        <f t="shared" si="15"/>
        <v>10087.035154775695</v>
      </c>
      <c r="I54" s="2">
        <f t="shared" si="15"/>
        <v>9202.1444008146318</v>
      </c>
      <c r="J54" s="2">
        <f t="shared" si="15"/>
        <v>8394.8811790700147</v>
      </c>
      <c r="K54" s="2">
        <f t="shared" si="15"/>
        <v>7658.4355712202432</v>
      </c>
      <c r="L54" s="2">
        <f t="shared" si="15"/>
        <v>6986.5950628057572</v>
      </c>
      <c r="M54" s="2">
        <f t="shared" si="15"/>
        <v>6373.6921356438752</v>
      </c>
      <c r="N54" s="2">
        <f t="shared" si="15"/>
        <v>5814.5564577281157</v>
      </c>
      <c r="O54" s="2">
        <f t="shared" si="15"/>
        <v>5304.4712672951082</v>
      </c>
      <c r="P54" s="2">
        <f t="shared" si="15"/>
        <v>4839.1335831234355</v>
      </c>
      <c r="Q54" s="2">
        <f t="shared" si="15"/>
        <v>4414.6179054060804</v>
      </c>
      <c r="R54" s="2">
        <f t="shared" si="15"/>
        <v>4027.3431009839619</v>
      </c>
      <c r="S54" s="2">
        <f t="shared" si="15"/>
        <v>3674.0421935907393</v>
      </c>
      <c r="T54" s="2">
        <f t="shared" si="15"/>
        <v>3351.7348042651438</v>
      </c>
      <c r="U54" s="2">
        <f t="shared" si="15"/>
        <v>3057.7020094434156</v>
      </c>
      <c r="V54" s="2">
        <f t="shared" si="15"/>
        <v>2789.4634046395431</v>
      </c>
      <c r="W54" s="2">
        <f t="shared" si="15"/>
        <v>2544.7561802268642</v>
      </c>
      <c r="X54" s="2">
        <f t="shared" si="15"/>
        <v>2321.5160328083339</v>
      </c>
      <c r="Y54" s="2">
        <f t="shared" si="15"/>
        <v>2117.8597511474277</v>
      </c>
    </row>
    <row r="55" spans="1:26" x14ac:dyDescent="0.25">
      <c r="A55" s="75" t="s">
        <v>165</v>
      </c>
      <c r="B55" s="75"/>
      <c r="C55" s="75"/>
      <c r="D55" s="75"/>
      <c r="F55" s="2">
        <f>+E55+F54</f>
        <v>12120.276159162075</v>
      </c>
      <c r="G55" s="2">
        <f t="shared" ref="G55:Y55" si="16">+F55+G54</f>
        <v>23177.294369468938</v>
      </c>
      <c r="H55" s="2">
        <f t="shared" si="16"/>
        <v>33264.329524244633</v>
      </c>
      <c r="I55" s="2">
        <f t="shared" si="16"/>
        <v>42466.473925059268</v>
      </c>
      <c r="J55" s="2">
        <f t="shared" si="16"/>
        <v>50861.355104129281</v>
      </c>
      <c r="K55" s="2">
        <f t="shared" si="16"/>
        <v>58519.790675349526</v>
      </c>
      <c r="L55" s="2">
        <f t="shared" si="16"/>
        <v>65506.385738155281</v>
      </c>
      <c r="M55" s="2">
        <f t="shared" si="16"/>
        <v>71880.07787379915</v>
      </c>
      <c r="N55" s="2">
        <f t="shared" si="16"/>
        <v>77694.634331527268</v>
      </c>
      <c r="O55" s="2">
        <f t="shared" si="16"/>
        <v>82999.105598822382</v>
      </c>
      <c r="P55" s="2">
        <f t="shared" si="16"/>
        <v>87838.239181945813</v>
      </c>
      <c r="Q55" s="2">
        <f t="shared" si="16"/>
        <v>92252.857087351891</v>
      </c>
      <c r="R55" s="2">
        <f t="shared" si="16"/>
        <v>96280.200188335846</v>
      </c>
      <c r="S55" s="2">
        <f t="shared" si="16"/>
        <v>99954.242381926582</v>
      </c>
      <c r="T55" s="2">
        <f t="shared" si="16"/>
        <v>103305.97718619173</v>
      </c>
      <c r="U55" s="2">
        <f t="shared" si="16"/>
        <v>106363.67919563514</v>
      </c>
      <c r="V55" s="2">
        <f t="shared" si="16"/>
        <v>109153.14260027467</v>
      </c>
      <c r="W55" s="2">
        <f t="shared" si="16"/>
        <v>111697.89878050153</v>
      </c>
      <c r="X55" s="2">
        <f t="shared" si="16"/>
        <v>114019.41481330986</v>
      </c>
      <c r="Y55" s="2">
        <f t="shared" si="16"/>
        <v>116137.27456445729</v>
      </c>
    </row>
    <row r="56" spans="1:26" x14ac:dyDescent="0.25">
      <c r="A56" s="75" t="s">
        <v>166</v>
      </c>
      <c r="B56" s="75"/>
      <c r="C56" s="75"/>
      <c r="D56" s="75"/>
      <c r="F56" s="2">
        <f t="shared" ref="F56:X56" si="17">IF(F9&lt;&gt;"",F55+F52,"")</f>
        <v>-42087.463459697115</v>
      </c>
      <c r="G56" s="2">
        <f t="shared" si="17"/>
        <v>-40342.705248225117</v>
      </c>
      <c r="H56" s="2">
        <f t="shared" si="17"/>
        <v>-38751.006918625179</v>
      </c>
      <c r="I56" s="2">
        <f t="shared" si="17"/>
        <v>-37298.941207861833</v>
      </c>
      <c r="J56" s="2">
        <f t="shared" si="17"/>
        <v>-30981.563500340038</v>
      </c>
      <c r="K56" s="2">
        <f t="shared" si="17"/>
        <v>-25218.381256290879</v>
      </c>
      <c r="L56" s="2">
        <f t="shared" si="17"/>
        <v>-19960.777371283853</v>
      </c>
      <c r="M56" s="2">
        <f t="shared" si="17"/>
        <v>-15164.399703341202</v>
      </c>
      <c r="N56" s="2">
        <f t="shared" si="17"/>
        <v>-10788.786926741101</v>
      </c>
      <c r="O56" s="2">
        <f t="shared" si="17"/>
        <v>-6797.0272080035065</v>
      </c>
      <c r="P56" s="2">
        <f t="shared" si="17"/>
        <v>-3155.446824714425</v>
      </c>
      <c r="Q56" s="2">
        <f t="shared" si="17"/>
        <v>166.67389956346597</v>
      </c>
      <c r="R56" s="2">
        <f t="shared" si="17"/>
        <v>3197.3597406126501</v>
      </c>
      <c r="S56" s="2">
        <f t="shared" si="17"/>
        <v>5962.176985215483</v>
      </c>
      <c r="T56" s="2">
        <f t="shared" si="17"/>
        <v>8484.4491034654347</v>
      </c>
      <c r="U56" s="2">
        <f t="shared" si="17"/>
        <v>10785.453501105076</v>
      </c>
      <c r="V56" s="2">
        <f t="shared" si="17"/>
        <v>12884.601011656239</v>
      </c>
      <c r="W56" s="2">
        <f t="shared" si="17"/>
        <v>14799.599642503381</v>
      </c>
      <c r="X56" s="2">
        <f t="shared" si="17"/>
        <v>16546.60395626098</v>
      </c>
    </row>
    <row r="57" spans="1:26" x14ac:dyDescent="0.25">
      <c r="A57" s="40" t="s">
        <v>167</v>
      </c>
      <c r="B57" s="40"/>
      <c r="C57" s="40"/>
      <c r="D57" s="40"/>
      <c r="F57" s="2">
        <f>-F50/F14</f>
        <v>87.144312930324176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9" spans="1:26" x14ac:dyDescent="0.25">
      <c r="A59" s="75" t="s">
        <v>88</v>
      </c>
      <c r="B59" s="75"/>
      <c r="C59" s="75"/>
      <c r="D59" s="75"/>
      <c r="E59" s="2">
        <f t="shared" ref="E59:Y59" si="18">IF(E9="",D59,-E52)</f>
        <v>44000</v>
      </c>
      <c r="F59" s="2">
        <f t="shared" si="18"/>
        <v>54207.739618859188</v>
      </c>
      <c r="G59" s="2">
        <f t="shared" si="18"/>
        <v>63519.999617694055</v>
      </c>
      <c r="H59" s="2">
        <f t="shared" si="18"/>
        <v>72015.336442869811</v>
      </c>
      <c r="I59" s="2">
        <f t="shared" si="18"/>
        <v>79765.415132921102</v>
      </c>
      <c r="J59" s="2">
        <f t="shared" si="18"/>
        <v>81842.91860446932</v>
      </c>
      <c r="K59" s="2">
        <f t="shared" si="18"/>
        <v>83738.171931640405</v>
      </c>
      <c r="L59" s="2">
        <f t="shared" si="18"/>
        <v>85467.163109439134</v>
      </c>
      <c r="M59" s="2">
        <f t="shared" si="18"/>
        <v>87044.477577140351</v>
      </c>
      <c r="N59" s="2">
        <f t="shared" si="18"/>
        <v>88483.421258268369</v>
      </c>
      <c r="O59" s="2">
        <f t="shared" si="18"/>
        <v>89796.132806825888</v>
      </c>
      <c r="P59" s="2">
        <f t="shared" si="18"/>
        <v>90993.686006660238</v>
      </c>
      <c r="Q59" s="2">
        <f t="shared" si="18"/>
        <v>92086.183187788425</v>
      </c>
      <c r="R59" s="2">
        <f t="shared" si="18"/>
        <v>93082.840447723196</v>
      </c>
      <c r="S59" s="2">
        <f t="shared" si="18"/>
        <v>93992.065396711099</v>
      </c>
      <c r="T59" s="2">
        <f t="shared" si="18"/>
        <v>94821.52808272629</v>
      </c>
      <c r="U59" s="2">
        <f t="shared" si="18"/>
        <v>95578.225694530061</v>
      </c>
      <c r="V59" s="2">
        <f t="shared" si="18"/>
        <v>96268.541588618435</v>
      </c>
      <c r="W59" s="2">
        <f t="shared" si="18"/>
        <v>96898.299137998154</v>
      </c>
      <c r="X59" s="2">
        <f t="shared" si="18"/>
        <v>97472.810857048884</v>
      </c>
      <c r="Y59" s="2">
        <f t="shared" si="18"/>
        <v>97996.923216879615</v>
      </c>
    </row>
    <row r="60" spans="1:26" x14ac:dyDescent="0.25">
      <c r="A60" s="75" t="s">
        <v>95</v>
      </c>
      <c r="B60" s="75"/>
      <c r="C60" s="75"/>
      <c r="D60" s="75"/>
      <c r="F60" s="2">
        <f t="shared" ref="F60:Y60" si="19">IF(F9="",E60,F55)</f>
        <v>12120.276159162075</v>
      </c>
      <c r="G60" s="2">
        <f t="shared" si="19"/>
        <v>23177.294369468938</v>
      </c>
      <c r="H60" s="2">
        <f t="shared" si="19"/>
        <v>33264.329524244633</v>
      </c>
      <c r="I60" s="2">
        <f t="shared" si="19"/>
        <v>42466.473925059268</v>
      </c>
      <c r="J60" s="2">
        <f t="shared" si="19"/>
        <v>50861.355104129281</v>
      </c>
      <c r="K60" s="2">
        <f t="shared" si="19"/>
        <v>58519.790675349526</v>
      </c>
      <c r="L60" s="2">
        <f t="shared" si="19"/>
        <v>65506.385738155281</v>
      </c>
      <c r="M60" s="2">
        <f t="shared" si="19"/>
        <v>71880.07787379915</v>
      </c>
      <c r="N60" s="2">
        <f t="shared" si="19"/>
        <v>77694.634331527268</v>
      </c>
      <c r="O60" s="2">
        <f t="shared" si="19"/>
        <v>82999.105598822382</v>
      </c>
      <c r="P60" s="2">
        <f t="shared" si="19"/>
        <v>87838.239181945813</v>
      </c>
      <c r="Q60" s="2">
        <f t="shared" si="19"/>
        <v>92252.857087351891</v>
      </c>
      <c r="R60" s="2">
        <f t="shared" si="19"/>
        <v>96280.200188335846</v>
      </c>
      <c r="S60" s="2">
        <f t="shared" si="19"/>
        <v>99954.242381926582</v>
      </c>
      <c r="T60" s="2">
        <f t="shared" si="19"/>
        <v>103305.97718619173</v>
      </c>
      <c r="U60" s="2">
        <f t="shared" si="19"/>
        <v>106363.67919563514</v>
      </c>
      <c r="V60" s="2">
        <f t="shared" si="19"/>
        <v>109153.14260027467</v>
      </c>
      <c r="W60" s="2">
        <f t="shared" si="19"/>
        <v>111697.89878050153</v>
      </c>
      <c r="X60" s="2">
        <f t="shared" si="19"/>
        <v>114019.41481330986</v>
      </c>
      <c r="Y60" s="2">
        <f t="shared" si="19"/>
        <v>116137.27456445729</v>
      </c>
    </row>
  </sheetData>
  <sheetProtection selectLockedCells="1"/>
  <mergeCells count="35">
    <mergeCell ref="A16:D16"/>
    <mergeCell ref="A21:D21"/>
    <mergeCell ref="A27:D27"/>
    <mergeCell ref="A14:D14"/>
    <mergeCell ref="A7:D7"/>
    <mergeCell ref="A9:D9"/>
    <mergeCell ref="A11:D11"/>
    <mergeCell ref="A12:D12"/>
    <mergeCell ref="A13:D13"/>
    <mergeCell ref="A26:D26"/>
    <mergeCell ref="A29:D29"/>
    <mergeCell ref="A32:D32"/>
    <mergeCell ref="A33:D33"/>
    <mergeCell ref="A28:D28"/>
    <mergeCell ref="A19:D19"/>
    <mergeCell ref="A20:D20"/>
    <mergeCell ref="A22:D22"/>
    <mergeCell ref="A24:D24"/>
    <mergeCell ref="A25:D25"/>
    <mergeCell ref="F2:I2"/>
    <mergeCell ref="I7:J7"/>
    <mergeCell ref="N7:O7"/>
    <mergeCell ref="A60:D60"/>
    <mergeCell ref="A18:D18"/>
    <mergeCell ref="A52:D52"/>
    <mergeCell ref="A53:D53"/>
    <mergeCell ref="A54:D54"/>
    <mergeCell ref="A55:D55"/>
    <mergeCell ref="A56:D56"/>
    <mergeCell ref="A59:D59"/>
    <mergeCell ref="A34:D34"/>
    <mergeCell ref="A35:D35"/>
    <mergeCell ref="A50:D50"/>
    <mergeCell ref="A51:D51"/>
    <mergeCell ref="A17:D17"/>
  </mergeCells>
  <dataValidations count="1">
    <dataValidation allowBlank="1" showInputMessage="1" showErrorMessage="1" promptTitle="CashFlow" prompt="Ne obuhvata amortizaciju, ali obuhvata otplatu glavnice." sqref="A37"/>
  </dataValidations>
  <hyperlinks>
    <hyperlink ref="I7:J7" location="FinaIndicators!A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K2" sqref="K2"/>
    </sheetView>
  </sheetViews>
  <sheetFormatPr defaultRowHeight="15" x14ac:dyDescent="0.25"/>
  <sheetData>
    <row r="3" spans="1:9" ht="16.5" x14ac:dyDescent="0.35">
      <c r="F3" s="64" t="s">
        <v>177</v>
      </c>
      <c r="G3" s="64"/>
      <c r="H3" s="64"/>
      <c r="I3" s="64"/>
    </row>
    <row r="7" spans="1:9" ht="15" customHeight="1" x14ac:dyDescent="0.25">
      <c r="A7" s="66" t="s">
        <v>96</v>
      </c>
      <c r="B7" s="66"/>
      <c r="C7" s="66"/>
      <c r="D7" s="66"/>
    </row>
    <row r="8" spans="1:9" ht="15" customHeight="1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120</v>
      </c>
      <c r="B11" s="68"/>
      <c r="C11" s="69" t="s">
        <v>121</v>
      </c>
      <c r="D11" s="69"/>
    </row>
    <row r="12" spans="1:9" x14ac:dyDescent="0.25">
      <c r="A12" s="68"/>
      <c r="B12" s="68"/>
      <c r="C12" s="69"/>
      <c r="D12" s="6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10</vt:i4>
      </vt:variant>
    </vt:vector>
  </HeadingPairs>
  <TitlesOfParts>
    <vt:vector size="26" baseType="lpstr">
      <vt:lpstr>Pocetna</vt:lpstr>
      <vt:lpstr>KonvFaktor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Goriva</vt:lpstr>
      <vt:lpstr>CARBON</vt:lpstr>
      <vt:lpstr>CirkP</vt:lpstr>
      <vt:lpstr>EFAKTOR</vt:lpstr>
      <vt:lpstr>ElEn</vt:lpstr>
      <vt:lpstr>Equity</vt:lpstr>
      <vt:lpstr>Gorivo</vt:lpstr>
      <vt:lpstr>Investment</vt:lpstr>
      <vt:lpstr>LCOEE</vt:lpstr>
      <vt:lpstr>LOAN</vt:lpstr>
      <vt:lpstr>PROJEKAT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2023-07-21T07:13:56Z</dcterms:modified>
</cp:coreProperties>
</file>